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04"/>
  <workbookPr/>
  <mc:AlternateContent xmlns:mc="http://schemas.openxmlformats.org/markup-compatibility/2006">
    <mc:Choice Requires="x15">
      <x15ac:absPath xmlns:x15ac="http://schemas.microsoft.com/office/spreadsheetml/2010/11/ac" url="J:\Authorization\Applications\New School Applications\2022\Wildflower\Grand Junction (applied to D51)\"/>
    </mc:Choice>
  </mc:AlternateContent>
  <xr:revisionPtr revIDLastSave="0" documentId="8_{CC71583D-BB0B-47B6-9D93-BFF4B0CF3DCF}" xr6:coauthVersionLast="47" xr6:coauthVersionMax="47" xr10:uidLastSave="{00000000-0000-0000-0000-000000000000}"/>
  <bookViews>
    <workbookView xWindow="33495" yWindow="1740" windowWidth="26415" windowHeight="11850" xr2:uid="{00000000-000D-0000-FFFF-FFFF00000000}"/>
  </bookViews>
  <sheets>
    <sheet name="Cover Page" sheetId="1" r:id="rId1"/>
    <sheet name="Page 1-Enrollment Plan" sheetId="2" r:id="rId2"/>
    <sheet name="Page 2-Staffing Plan" sheetId="3" r:id="rId3"/>
    <sheet name="Page 3-Assumptions" sheetId="4" r:id="rId4"/>
    <sheet name="Page 4-Year 0" sheetId="5" r:id="rId5"/>
    <sheet name="Page 5-Year 1" sheetId="6" r:id="rId6"/>
    <sheet name="Page 6-Year 2" sheetId="7" r:id="rId7"/>
    <sheet name="Page 7-Year 3" sheetId="8" r:id="rId8"/>
    <sheet name="Page 8-Year 4" sheetId="9" r:id="rId9"/>
    <sheet name="Page 9-Year 5" sheetId="10" r:id="rId10"/>
    <sheet name="Page 10-6 yr Budget-detail" sheetId="11" r:id="rId11"/>
    <sheet name="Page 11-6 yr Budget Summary" sheetId="12" r:id="rId12"/>
    <sheet name="Support-CDE start-up grant" sheetId="13" state="hidden" r:id="rId13"/>
  </sheets>
  <definedNames>
    <definedName name="__FTE1">'Page 10-6 yr Budget-detail'!$C$6</definedName>
    <definedName name="__FTE2">'Page 10-6 yr Budget-detail'!$D$6</definedName>
    <definedName name="__fTE3">'Page 10-6 yr Budget-detail'!$E$6</definedName>
    <definedName name="__FTE4">'Page 10-6 yr Budget-detail'!$F$6</definedName>
    <definedName name="_FTE1" localSheetId="11">'Page 11-6 yr Budget Summary'!$C$5</definedName>
    <definedName name="_FTE2" localSheetId="11">'Page 11-6 yr Budget Summary'!$D$5</definedName>
    <definedName name="_fTE3" localSheetId="11">'Page 11-6 yr Budget Summary'!$E$5</definedName>
    <definedName name="_FTE4" localSheetId="11">'Page 11-6 yr Budget Summary'!$F$5</definedName>
    <definedName name="FPC" localSheetId="5">'Page 5-Year 1'!$E$3</definedName>
    <definedName name="FPC" localSheetId="6">'Page 6-Year 2'!$E$3</definedName>
    <definedName name="FPC" localSheetId="7">'Page 7-Year 3'!$E$3</definedName>
    <definedName name="FPC" localSheetId="8">'Page 8-Year 4'!$E$3</definedName>
    <definedName name="FPC" localSheetId="9">'Page 9-Year 5'!$E$3</definedName>
    <definedName name="FPC">'Page 4-Year 0'!$D$3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13" l="1"/>
  <c r="C35" i="13"/>
  <c r="B35" i="13"/>
  <c r="D33" i="13"/>
  <c r="C33" i="13"/>
  <c r="B33" i="13"/>
  <c r="B5" i="12"/>
  <c r="P103" i="11"/>
  <c r="O103" i="11"/>
  <c r="N103" i="11"/>
  <c r="M103" i="11"/>
  <c r="L103" i="11"/>
  <c r="K103" i="11"/>
  <c r="P102" i="11"/>
  <c r="O102" i="11"/>
  <c r="N102" i="11"/>
  <c r="M102" i="11"/>
  <c r="L102" i="11"/>
  <c r="K102" i="11"/>
  <c r="P92" i="11"/>
  <c r="O92" i="11"/>
  <c r="N92" i="11"/>
  <c r="M92" i="11"/>
  <c r="L92" i="11"/>
  <c r="K92" i="11"/>
  <c r="P91" i="11"/>
  <c r="O91" i="11"/>
  <c r="N91" i="11"/>
  <c r="M91" i="11"/>
  <c r="L91" i="11"/>
  <c r="K91" i="11"/>
  <c r="P90" i="11"/>
  <c r="O90" i="11"/>
  <c r="N90" i="11"/>
  <c r="M90" i="11"/>
  <c r="L90" i="11"/>
  <c r="K90" i="11"/>
  <c r="P89" i="11"/>
  <c r="O89" i="11"/>
  <c r="N89" i="11"/>
  <c r="M89" i="11"/>
  <c r="L89" i="11"/>
  <c r="K89" i="11"/>
  <c r="P87" i="11"/>
  <c r="O87" i="11"/>
  <c r="N87" i="11"/>
  <c r="M87" i="11"/>
  <c r="L87" i="11"/>
  <c r="K87" i="11"/>
  <c r="B87" i="11"/>
  <c r="B39" i="12" s="1"/>
  <c r="P81" i="11"/>
  <c r="O81" i="11"/>
  <c r="N81" i="11"/>
  <c r="M81" i="11"/>
  <c r="L81" i="11"/>
  <c r="K81" i="11"/>
  <c r="K76" i="11"/>
  <c r="B76" i="11"/>
  <c r="K74" i="11"/>
  <c r="C74" i="11"/>
  <c r="K73" i="11"/>
  <c r="K72" i="11"/>
  <c r="K71" i="11"/>
  <c r="K70" i="11"/>
  <c r="K69" i="11"/>
  <c r="K68" i="11"/>
  <c r="K67" i="11"/>
  <c r="K66" i="11"/>
  <c r="K65" i="11"/>
  <c r="K64" i="11"/>
  <c r="K63" i="11"/>
  <c r="K62" i="11"/>
  <c r="K61" i="11"/>
  <c r="K60" i="11"/>
  <c r="K59" i="11"/>
  <c r="K58" i="11"/>
  <c r="K57" i="11"/>
  <c r="K56" i="11"/>
  <c r="K55" i="11"/>
  <c r="K54" i="11"/>
  <c r="K53" i="11"/>
  <c r="K52" i="11"/>
  <c r="C52" i="11"/>
  <c r="K51" i="11"/>
  <c r="K50" i="11"/>
  <c r="K49" i="11"/>
  <c r="K48" i="11"/>
  <c r="K47" i="11"/>
  <c r="K46" i="11"/>
  <c r="G46" i="11"/>
  <c r="K45" i="11"/>
  <c r="K44" i="11"/>
  <c r="K43" i="11"/>
  <c r="C43" i="11"/>
  <c r="K42" i="11"/>
  <c r="K41" i="11"/>
  <c r="K40" i="11"/>
  <c r="K39" i="11"/>
  <c r="K38" i="11"/>
  <c r="K37" i="11"/>
  <c r="K36" i="11"/>
  <c r="G36" i="11"/>
  <c r="K35" i="11"/>
  <c r="K34" i="11"/>
  <c r="F34" i="11"/>
  <c r="K33" i="11"/>
  <c r="K77" i="11" s="1"/>
  <c r="K29" i="11"/>
  <c r="K28" i="11"/>
  <c r="K27" i="11"/>
  <c r="K26" i="11"/>
  <c r="K25" i="11"/>
  <c r="K24" i="11"/>
  <c r="K23" i="11"/>
  <c r="K22" i="11"/>
  <c r="K21" i="11"/>
  <c r="B21" i="11"/>
  <c r="K20" i="11"/>
  <c r="B20" i="11"/>
  <c r="K19" i="11"/>
  <c r="C19" i="11"/>
  <c r="K18" i="11"/>
  <c r="K17" i="11"/>
  <c r="K16" i="11"/>
  <c r="K15" i="11"/>
  <c r="K14" i="11"/>
  <c r="K13" i="11"/>
  <c r="K12" i="11"/>
  <c r="K11" i="11"/>
  <c r="K10" i="11"/>
  <c r="G10" i="11"/>
  <c r="F10" i="11"/>
  <c r="K9" i="11"/>
  <c r="K8" i="11"/>
  <c r="K30" i="11" s="1"/>
  <c r="P6" i="11"/>
  <c r="O6" i="11"/>
  <c r="N6" i="11"/>
  <c r="M6" i="11"/>
  <c r="L6" i="11"/>
  <c r="K6" i="11"/>
  <c r="B6" i="11"/>
  <c r="P5" i="11"/>
  <c r="O5" i="11"/>
  <c r="N5" i="11"/>
  <c r="M5" i="11"/>
  <c r="L5" i="11"/>
  <c r="J1" i="11"/>
  <c r="E81" i="10"/>
  <c r="D77" i="10"/>
  <c r="E76" i="10"/>
  <c r="G76" i="11" s="1"/>
  <c r="E75" i="10"/>
  <c r="G75" i="11" s="1"/>
  <c r="E72" i="10"/>
  <c r="G72" i="11" s="1"/>
  <c r="E71" i="10"/>
  <c r="G71" i="11" s="1"/>
  <c r="E69" i="10"/>
  <c r="G69" i="11" s="1"/>
  <c r="B69" i="10"/>
  <c r="E68" i="10"/>
  <c r="G68" i="11" s="1"/>
  <c r="B66" i="10"/>
  <c r="E66" i="10" s="1"/>
  <c r="G66" i="11" s="1"/>
  <c r="B65" i="10"/>
  <c r="E65" i="10" s="1"/>
  <c r="G65" i="11" s="1"/>
  <c r="E63" i="10"/>
  <c r="G63" i="11" s="1"/>
  <c r="B63" i="10"/>
  <c r="E60" i="10"/>
  <c r="G60" i="11" s="1"/>
  <c r="E59" i="10"/>
  <c r="G59" i="11" s="1"/>
  <c r="E58" i="10"/>
  <c r="G58" i="11" s="1"/>
  <c r="P58" i="11" s="1"/>
  <c r="E53" i="10"/>
  <c r="G53" i="11" s="1"/>
  <c r="E52" i="10"/>
  <c r="G52" i="11" s="1"/>
  <c r="E51" i="10"/>
  <c r="G51" i="11" s="1"/>
  <c r="B51" i="10"/>
  <c r="E48" i="10"/>
  <c r="G48" i="11" s="1"/>
  <c r="B48" i="10"/>
  <c r="E46" i="10"/>
  <c r="E45" i="10"/>
  <c r="G45" i="11" s="1"/>
  <c r="B45" i="10"/>
  <c r="E43" i="10"/>
  <c r="G43" i="11" s="1"/>
  <c r="E41" i="10"/>
  <c r="G41" i="11" s="1"/>
  <c r="P41" i="11" s="1"/>
  <c r="B39" i="10"/>
  <c r="E39" i="10" s="1"/>
  <c r="G39" i="11" s="1"/>
  <c r="B38" i="10"/>
  <c r="E38" i="10" s="1"/>
  <c r="G38" i="11" s="1"/>
  <c r="E36" i="10"/>
  <c r="D30" i="10"/>
  <c r="D79" i="10" s="1"/>
  <c r="D84" i="10" s="1"/>
  <c r="E29" i="10"/>
  <c r="G29" i="11" s="1"/>
  <c r="E27" i="10"/>
  <c r="G27" i="11" s="1"/>
  <c r="P27" i="11" s="1"/>
  <c r="E19" i="10"/>
  <c r="G19" i="11" s="1"/>
  <c r="P19" i="11" s="1"/>
  <c r="E14" i="10"/>
  <c r="G14" i="11" s="1"/>
  <c r="E11" i="10"/>
  <c r="G11" i="11" s="1"/>
  <c r="E10" i="10"/>
  <c r="E9" i="10"/>
  <c r="G9" i="11" s="1"/>
  <c r="E8" i="10"/>
  <c r="B3" i="10"/>
  <c r="A2" i="10"/>
  <c r="E81" i="9"/>
  <c r="D77" i="9"/>
  <c r="E76" i="9"/>
  <c r="F76" i="11" s="1"/>
  <c r="E75" i="9"/>
  <c r="F75" i="11" s="1"/>
  <c r="E72" i="9"/>
  <c r="F72" i="11" s="1"/>
  <c r="E71" i="9"/>
  <c r="F71" i="11" s="1"/>
  <c r="B70" i="9"/>
  <c r="B70" i="10" s="1"/>
  <c r="E70" i="10" s="1"/>
  <c r="G70" i="11" s="1"/>
  <c r="E69" i="9"/>
  <c r="F69" i="11" s="1"/>
  <c r="E68" i="9"/>
  <c r="F68" i="11" s="1"/>
  <c r="B67" i="9"/>
  <c r="E66" i="9"/>
  <c r="F66" i="11" s="1"/>
  <c r="B65" i="9"/>
  <c r="E65" i="9" s="1"/>
  <c r="F65" i="11" s="1"/>
  <c r="E64" i="9"/>
  <c r="F64" i="11" s="1"/>
  <c r="E63" i="9"/>
  <c r="F63" i="11" s="1"/>
  <c r="E60" i="9"/>
  <c r="F60" i="11" s="1"/>
  <c r="E59" i="9"/>
  <c r="F59" i="11" s="1"/>
  <c r="E58" i="9"/>
  <c r="F58" i="11" s="1"/>
  <c r="E53" i="9"/>
  <c r="F53" i="11" s="1"/>
  <c r="E52" i="9"/>
  <c r="F52" i="11" s="1"/>
  <c r="B51" i="9"/>
  <c r="E51" i="9" s="1"/>
  <c r="F51" i="11" s="1"/>
  <c r="B49" i="9"/>
  <c r="E49" i="9" s="1"/>
  <c r="F49" i="11" s="1"/>
  <c r="E48" i="9"/>
  <c r="F48" i="11" s="1"/>
  <c r="O48" i="11" s="1"/>
  <c r="E46" i="9"/>
  <c r="F46" i="11" s="1"/>
  <c r="O46" i="11" s="1"/>
  <c r="E45" i="9"/>
  <c r="F45" i="11" s="1"/>
  <c r="E43" i="9"/>
  <c r="F43" i="11" s="1"/>
  <c r="E41" i="9"/>
  <c r="F41" i="11" s="1"/>
  <c r="B39" i="9"/>
  <c r="E39" i="9" s="1"/>
  <c r="F39" i="11" s="1"/>
  <c r="B38" i="9"/>
  <c r="E38" i="9" s="1"/>
  <c r="F38" i="11" s="1"/>
  <c r="O38" i="11" s="1"/>
  <c r="E36" i="9"/>
  <c r="F36" i="11" s="1"/>
  <c r="E34" i="9"/>
  <c r="D30" i="9"/>
  <c r="D79" i="9" s="1"/>
  <c r="D84" i="9" s="1"/>
  <c r="E29" i="9"/>
  <c r="F29" i="11" s="1"/>
  <c r="E27" i="9"/>
  <c r="F27" i="11" s="1"/>
  <c r="E19" i="9"/>
  <c r="F19" i="11" s="1"/>
  <c r="E14" i="9"/>
  <c r="F14" i="11" s="1"/>
  <c r="E11" i="9"/>
  <c r="F11" i="11" s="1"/>
  <c r="E10" i="9"/>
  <c r="E9" i="9"/>
  <c r="F9" i="11" s="1"/>
  <c r="E8" i="9"/>
  <c r="F8" i="11" s="1"/>
  <c r="B3" i="9"/>
  <c r="A2" i="9" s="1"/>
  <c r="E81" i="8"/>
  <c r="D79" i="8"/>
  <c r="D84" i="8" s="1"/>
  <c r="D77" i="8"/>
  <c r="E76" i="8"/>
  <c r="E76" i="11" s="1"/>
  <c r="N76" i="11" s="1"/>
  <c r="E75" i="8"/>
  <c r="E75" i="11" s="1"/>
  <c r="N75" i="11" s="1"/>
  <c r="E72" i="8"/>
  <c r="E72" i="11" s="1"/>
  <c r="E71" i="8"/>
  <c r="E71" i="11" s="1"/>
  <c r="E70" i="8"/>
  <c r="E70" i="11" s="1"/>
  <c r="E69" i="8"/>
  <c r="E69" i="11" s="1"/>
  <c r="E68" i="8"/>
  <c r="E68" i="11" s="1"/>
  <c r="E66" i="8"/>
  <c r="E66" i="11" s="1"/>
  <c r="B65" i="8"/>
  <c r="E65" i="8" s="1"/>
  <c r="E65" i="11" s="1"/>
  <c r="E63" i="8"/>
  <c r="E63" i="11" s="1"/>
  <c r="E60" i="8"/>
  <c r="E60" i="11" s="1"/>
  <c r="E59" i="8"/>
  <c r="E59" i="11" s="1"/>
  <c r="E58" i="8"/>
  <c r="E58" i="11" s="1"/>
  <c r="N58" i="11" s="1"/>
  <c r="E53" i="8"/>
  <c r="E53" i="11" s="1"/>
  <c r="E52" i="8"/>
  <c r="E52" i="11" s="1"/>
  <c r="B51" i="8"/>
  <c r="E51" i="8" s="1"/>
  <c r="E51" i="11" s="1"/>
  <c r="B49" i="8"/>
  <c r="E49" i="8" s="1"/>
  <c r="E49" i="11" s="1"/>
  <c r="N49" i="11" s="1"/>
  <c r="E48" i="8"/>
  <c r="E48" i="11" s="1"/>
  <c r="B48" i="8"/>
  <c r="E46" i="8"/>
  <c r="E46" i="11" s="1"/>
  <c r="B45" i="8"/>
  <c r="E45" i="8" s="1"/>
  <c r="E45" i="11" s="1"/>
  <c r="E44" i="8"/>
  <c r="E44" i="11" s="1"/>
  <c r="N44" i="11" s="1"/>
  <c r="E43" i="8"/>
  <c r="E43" i="11" s="1"/>
  <c r="E41" i="8"/>
  <c r="E41" i="11" s="1"/>
  <c r="N41" i="11" s="1"/>
  <c r="B39" i="8"/>
  <c r="E39" i="8" s="1"/>
  <c r="E39" i="11" s="1"/>
  <c r="N39" i="11" s="1"/>
  <c r="E38" i="8"/>
  <c r="E38" i="11" s="1"/>
  <c r="B38" i="8"/>
  <c r="D30" i="8"/>
  <c r="E29" i="8"/>
  <c r="E29" i="11" s="1"/>
  <c r="E8" i="12" s="1"/>
  <c r="E27" i="8"/>
  <c r="E27" i="11" s="1"/>
  <c r="N27" i="11" s="1"/>
  <c r="E19" i="8"/>
  <c r="E19" i="11" s="1"/>
  <c r="E14" i="8"/>
  <c r="E14" i="11" s="1"/>
  <c r="N14" i="11" s="1"/>
  <c r="E11" i="8"/>
  <c r="E11" i="11" s="1"/>
  <c r="N11" i="11" s="1"/>
  <c r="E10" i="8"/>
  <c r="E10" i="11" s="1"/>
  <c r="E9" i="8"/>
  <c r="E9" i="11" s="1"/>
  <c r="E9" i="12" s="1"/>
  <c r="E8" i="8"/>
  <c r="B3" i="8"/>
  <c r="A2" i="8" s="1"/>
  <c r="E81" i="7"/>
  <c r="E76" i="7"/>
  <c r="D76" i="11" s="1"/>
  <c r="E75" i="7"/>
  <c r="D75" i="11" s="1"/>
  <c r="M75" i="11" s="1"/>
  <c r="E72" i="7"/>
  <c r="D72" i="11" s="1"/>
  <c r="E71" i="7"/>
  <c r="D71" i="11" s="1"/>
  <c r="E70" i="7"/>
  <c r="D70" i="11" s="1"/>
  <c r="D70" i="7"/>
  <c r="E69" i="7"/>
  <c r="D69" i="11" s="1"/>
  <c r="D69" i="7"/>
  <c r="E68" i="7"/>
  <c r="D68" i="11" s="1"/>
  <c r="E67" i="7"/>
  <c r="D67" i="11" s="1"/>
  <c r="M67" i="11" s="1"/>
  <c r="B67" i="7"/>
  <c r="B67" i="8" s="1"/>
  <c r="E67" i="8" s="1"/>
  <c r="E67" i="11" s="1"/>
  <c r="N67" i="11" s="1"/>
  <c r="D66" i="7"/>
  <c r="E66" i="7" s="1"/>
  <c r="D66" i="11" s="1"/>
  <c r="E65" i="7"/>
  <c r="D65" i="11" s="1"/>
  <c r="B65" i="7"/>
  <c r="E64" i="7"/>
  <c r="D64" i="11" s="1"/>
  <c r="E63" i="7"/>
  <c r="D63" i="11" s="1"/>
  <c r="D60" i="7"/>
  <c r="D59" i="7"/>
  <c r="E59" i="7" s="1"/>
  <c r="D59" i="11" s="1"/>
  <c r="E58" i="7"/>
  <c r="D58" i="11" s="1"/>
  <c r="B57" i="7"/>
  <c r="E53" i="7"/>
  <c r="D53" i="11" s="1"/>
  <c r="E52" i="7"/>
  <c r="D52" i="11" s="1"/>
  <c r="E51" i="7"/>
  <c r="D51" i="11" s="1"/>
  <c r="B51" i="7"/>
  <c r="B50" i="7"/>
  <c r="E50" i="7" s="1"/>
  <c r="D50" i="11" s="1"/>
  <c r="M50" i="11" s="1"/>
  <c r="E49" i="7"/>
  <c r="D49" i="11" s="1"/>
  <c r="B49" i="7"/>
  <c r="D48" i="7"/>
  <c r="E48" i="7" s="1"/>
  <c r="D48" i="11" s="1"/>
  <c r="D46" i="7"/>
  <c r="E46" i="7" s="1"/>
  <c r="D46" i="11" s="1"/>
  <c r="E45" i="7"/>
  <c r="D45" i="11" s="1"/>
  <c r="D45" i="7"/>
  <c r="E44" i="7"/>
  <c r="D44" i="11" s="1"/>
  <c r="E43" i="7"/>
  <c r="D43" i="11" s="1"/>
  <c r="M43" i="11" s="1"/>
  <c r="E42" i="7"/>
  <c r="D42" i="11" s="1"/>
  <c r="E41" i="7"/>
  <c r="D41" i="11" s="1"/>
  <c r="E39" i="7"/>
  <c r="D39" i="11" s="1"/>
  <c r="B39" i="7"/>
  <c r="B38" i="7"/>
  <c r="E38" i="7" s="1"/>
  <c r="D38" i="11" s="1"/>
  <c r="M38" i="11" s="1"/>
  <c r="B36" i="7"/>
  <c r="E36" i="7" s="1"/>
  <c r="D36" i="11" s="1"/>
  <c r="M36" i="11" s="1"/>
  <c r="E34" i="7"/>
  <c r="D34" i="11" s="1"/>
  <c r="E29" i="7"/>
  <c r="D29" i="11" s="1"/>
  <c r="D8" i="12" s="1"/>
  <c r="E27" i="7"/>
  <c r="D27" i="11" s="1"/>
  <c r="D27" i="7"/>
  <c r="D30" i="7" s="1"/>
  <c r="E19" i="7"/>
  <c r="D19" i="11" s="1"/>
  <c r="M19" i="11" s="1"/>
  <c r="E14" i="7"/>
  <c r="D14" i="11" s="1"/>
  <c r="E11" i="7"/>
  <c r="D11" i="11" s="1"/>
  <c r="E10" i="7"/>
  <c r="D10" i="11" s="1"/>
  <c r="E9" i="7"/>
  <c r="D9" i="11" s="1"/>
  <c r="E8" i="7"/>
  <c r="D8" i="11" s="1"/>
  <c r="B3" i="7"/>
  <c r="A2" i="7" s="1"/>
  <c r="E81" i="6"/>
  <c r="E76" i="6"/>
  <c r="C76" i="11" s="1"/>
  <c r="L76" i="11" s="1"/>
  <c r="E75" i="6"/>
  <c r="C75" i="11" s="1"/>
  <c r="L75" i="11" s="1"/>
  <c r="E72" i="6"/>
  <c r="C72" i="11" s="1"/>
  <c r="E71" i="6"/>
  <c r="C71" i="11" s="1"/>
  <c r="D70" i="6"/>
  <c r="E70" i="6" s="1"/>
  <c r="C70" i="11" s="1"/>
  <c r="B70" i="6"/>
  <c r="D69" i="6"/>
  <c r="E69" i="6" s="1"/>
  <c r="C69" i="11" s="1"/>
  <c r="E68" i="6"/>
  <c r="C68" i="11" s="1"/>
  <c r="E67" i="6"/>
  <c r="C67" i="11" s="1"/>
  <c r="D66" i="6"/>
  <c r="E66" i="6" s="1"/>
  <c r="C66" i="11" s="1"/>
  <c r="E65" i="6"/>
  <c r="C65" i="11" s="1"/>
  <c r="L65" i="11" s="1"/>
  <c r="B65" i="6"/>
  <c r="E64" i="6"/>
  <c r="C64" i="11" s="1"/>
  <c r="E63" i="6"/>
  <c r="C63" i="11" s="1"/>
  <c r="D60" i="6"/>
  <c r="D59" i="6"/>
  <c r="E59" i="6" s="1"/>
  <c r="C59" i="11" s="1"/>
  <c r="L59" i="11" s="1"/>
  <c r="E58" i="6"/>
  <c r="C58" i="11" s="1"/>
  <c r="E57" i="6"/>
  <c r="C57" i="11" s="1"/>
  <c r="E53" i="6"/>
  <c r="C53" i="11" s="1"/>
  <c r="E52" i="6"/>
  <c r="B51" i="6"/>
  <c r="E51" i="6" s="1"/>
  <c r="C51" i="11" s="1"/>
  <c r="L51" i="11" s="1"/>
  <c r="E50" i="6"/>
  <c r="C50" i="11" s="1"/>
  <c r="B49" i="6"/>
  <c r="E49" i="6" s="1"/>
  <c r="C49" i="11" s="1"/>
  <c r="L49" i="11" s="1"/>
  <c r="E48" i="6"/>
  <c r="C48" i="11" s="1"/>
  <c r="D48" i="6"/>
  <c r="E46" i="6"/>
  <c r="C46" i="11" s="1"/>
  <c r="D46" i="6"/>
  <c r="B46" i="6"/>
  <c r="D45" i="6"/>
  <c r="E44" i="6"/>
  <c r="C44" i="11" s="1"/>
  <c r="E43" i="6"/>
  <c r="E42" i="6"/>
  <c r="C42" i="11" s="1"/>
  <c r="E41" i="6"/>
  <c r="C41" i="11" s="1"/>
  <c r="L41" i="11" s="1"/>
  <c r="B39" i="6"/>
  <c r="E39" i="6" s="1"/>
  <c r="C39" i="11" s="1"/>
  <c r="L39" i="11" s="1"/>
  <c r="E38" i="6"/>
  <c r="C38" i="11" s="1"/>
  <c r="B38" i="6"/>
  <c r="E36" i="6"/>
  <c r="C36" i="11" s="1"/>
  <c r="C35" i="6"/>
  <c r="E34" i="6"/>
  <c r="C34" i="11" s="1"/>
  <c r="E29" i="6"/>
  <c r="C29" i="11" s="1"/>
  <c r="E27" i="6"/>
  <c r="C27" i="11" s="1"/>
  <c r="L27" i="11" s="1"/>
  <c r="D27" i="6"/>
  <c r="D30" i="6" s="1"/>
  <c r="C24" i="6"/>
  <c r="B24" i="6"/>
  <c r="E24" i="6" s="1"/>
  <c r="C24" i="11" s="1"/>
  <c r="L24" i="11" s="1"/>
  <c r="B20" i="6"/>
  <c r="E20" i="6" s="1"/>
  <c r="C20" i="11" s="1"/>
  <c r="L20" i="11" s="1"/>
  <c r="E19" i="6"/>
  <c r="E17" i="6"/>
  <c r="C17" i="11" s="1"/>
  <c r="C17" i="6"/>
  <c r="E14" i="6"/>
  <c r="C14" i="11" s="1"/>
  <c r="E11" i="6"/>
  <c r="E10" i="6"/>
  <c r="C10" i="11" s="1"/>
  <c r="E9" i="6"/>
  <c r="C9" i="11" s="1"/>
  <c r="E8" i="6"/>
  <c r="C8" i="11" s="1"/>
  <c r="B3" i="6"/>
  <c r="A2" i="6"/>
  <c r="D79" i="5"/>
  <c r="C75" i="5"/>
  <c r="D74" i="5"/>
  <c r="B74" i="11" s="1"/>
  <c r="D73" i="5"/>
  <c r="B73" i="11" s="1"/>
  <c r="B23" i="12" s="1"/>
  <c r="D72" i="5"/>
  <c r="B72" i="11" s="1"/>
  <c r="B28" i="12" s="1"/>
  <c r="D71" i="5"/>
  <c r="B71" i="11" s="1"/>
  <c r="B29" i="12" s="1"/>
  <c r="D70" i="5"/>
  <c r="B70" i="11" s="1"/>
  <c r="B26" i="12" s="1"/>
  <c r="D69" i="5"/>
  <c r="B69" i="11" s="1"/>
  <c r="B27" i="12" s="1"/>
  <c r="D68" i="5"/>
  <c r="B68" i="11" s="1"/>
  <c r="D67" i="5"/>
  <c r="B67" i="11" s="1"/>
  <c r="D66" i="5"/>
  <c r="B66" i="11" s="1"/>
  <c r="D65" i="5"/>
  <c r="B65" i="11" s="1"/>
  <c r="D64" i="5"/>
  <c r="B64" i="11" s="1"/>
  <c r="D63" i="5"/>
  <c r="B63" i="11" s="1"/>
  <c r="B24" i="12" s="1"/>
  <c r="D62" i="5"/>
  <c r="B62" i="11" s="1"/>
  <c r="D61" i="5"/>
  <c r="B61" i="11" s="1"/>
  <c r="B19" i="12" s="1"/>
  <c r="D60" i="5"/>
  <c r="B60" i="11" s="1"/>
  <c r="D59" i="5"/>
  <c r="B59" i="11" s="1"/>
  <c r="D58" i="5"/>
  <c r="B58" i="11" s="1"/>
  <c r="D57" i="5"/>
  <c r="B57" i="11" s="1"/>
  <c r="D56" i="5"/>
  <c r="B56" i="11" s="1"/>
  <c r="D54" i="5"/>
  <c r="B54" i="11" s="1"/>
  <c r="B54" i="5"/>
  <c r="D53" i="5"/>
  <c r="B53" i="11" s="1"/>
  <c r="D52" i="5"/>
  <c r="B52" i="11" s="1"/>
  <c r="B22" i="12" s="1"/>
  <c r="D51" i="5"/>
  <c r="B51" i="11" s="1"/>
  <c r="D50" i="5"/>
  <c r="B50" i="11" s="1"/>
  <c r="D49" i="5"/>
  <c r="B49" i="11" s="1"/>
  <c r="D48" i="5"/>
  <c r="B48" i="11" s="1"/>
  <c r="D47" i="5"/>
  <c r="B47" i="11" s="1"/>
  <c r="B46" i="5"/>
  <c r="D46" i="5" s="1"/>
  <c r="B46" i="11" s="1"/>
  <c r="D45" i="5"/>
  <c r="B45" i="11" s="1"/>
  <c r="D44" i="5"/>
  <c r="B44" i="11" s="1"/>
  <c r="D43" i="5"/>
  <c r="B43" i="11" s="1"/>
  <c r="D42" i="5"/>
  <c r="B42" i="11" s="1"/>
  <c r="D41" i="5"/>
  <c r="B41" i="11" s="1"/>
  <c r="D40" i="5"/>
  <c r="B40" i="11" s="1"/>
  <c r="B40" i="5"/>
  <c r="D39" i="5"/>
  <c r="B39" i="11" s="1"/>
  <c r="D38" i="5"/>
  <c r="B38" i="11" s="1"/>
  <c r="D37" i="5"/>
  <c r="B37" i="11" s="1"/>
  <c r="B36" i="5"/>
  <c r="D36" i="5" s="1"/>
  <c r="B36" i="11" s="1"/>
  <c r="B35" i="5"/>
  <c r="D35" i="5" s="1"/>
  <c r="B35" i="11" s="1"/>
  <c r="B34" i="5"/>
  <c r="D34" i="5" s="1"/>
  <c r="D33" i="5"/>
  <c r="B33" i="11" s="1"/>
  <c r="B30" i="5"/>
  <c r="B29" i="5"/>
  <c r="D29" i="5" s="1"/>
  <c r="B29" i="11" s="1"/>
  <c r="B8" i="12" s="1"/>
  <c r="D28" i="5"/>
  <c r="B28" i="11" s="1"/>
  <c r="B7" i="12" s="1"/>
  <c r="D27" i="5"/>
  <c r="B27" i="11" s="1"/>
  <c r="D26" i="5"/>
  <c r="B26" i="11" s="1"/>
  <c r="C25" i="5"/>
  <c r="D25" i="5" s="1"/>
  <c r="B25" i="11" s="1"/>
  <c r="D24" i="5"/>
  <c r="B24" i="11" s="1"/>
  <c r="C24" i="5"/>
  <c r="D23" i="5"/>
  <c r="B23" i="11" s="1"/>
  <c r="C23" i="5"/>
  <c r="D22" i="5"/>
  <c r="B22" i="11" s="1"/>
  <c r="C22" i="5"/>
  <c r="B21" i="5"/>
  <c r="B20" i="5"/>
  <c r="D19" i="5"/>
  <c r="B19" i="11" s="1"/>
  <c r="B18" i="5"/>
  <c r="D18" i="5" s="1"/>
  <c r="B18" i="11" s="1"/>
  <c r="C17" i="5"/>
  <c r="D17" i="5" s="1"/>
  <c r="B17" i="11" s="1"/>
  <c r="D16" i="5"/>
  <c r="B16" i="11" s="1"/>
  <c r="B16" i="5"/>
  <c r="D15" i="5"/>
  <c r="B15" i="11" s="1"/>
  <c r="D14" i="5"/>
  <c r="B14" i="11" s="1"/>
  <c r="D13" i="5"/>
  <c r="B13" i="11" s="1"/>
  <c r="D12" i="5"/>
  <c r="B12" i="11" s="1"/>
  <c r="D11" i="5"/>
  <c r="B11" i="11" s="1"/>
  <c r="D10" i="5"/>
  <c r="B10" i="11" s="1"/>
  <c r="B13" i="12" s="1"/>
  <c r="D9" i="5"/>
  <c r="B9" i="11" s="1"/>
  <c r="B9" i="12" s="1"/>
  <c r="B9" i="5"/>
  <c r="D8" i="5"/>
  <c r="B8" i="11" s="1"/>
  <c r="B3" i="5"/>
  <c r="A2" i="5" s="1"/>
  <c r="G67" i="4"/>
  <c r="F67" i="4"/>
  <c r="E67" i="4"/>
  <c r="D67" i="4"/>
  <c r="C67" i="4"/>
  <c r="B67" i="4"/>
  <c r="G24" i="4"/>
  <c r="G19" i="4" s="1"/>
  <c r="C22" i="10" s="1"/>
  <c r="E22" i="10" s="1"/>
  <c r="G22" i="11" s="1"/>
  <c r="F24" i="4"/>
  <c r="F22" i="4" s="1"/>
  <c r="C25" i="9" s="1"/>
  <c r="E25" i="9" s="1"/>
  <c r="F25" i="11" s="1"/>
  <c r="O25" i="11" s="1"/>
  <c r="E24" i="4"/>
  <c r="E22" i="4" s="1"/>
  <c r="C25" i="8" s="1"/>
  <c r="E25" i="8" s="1"/>
  <c r="E25" i="11" s="1"/>
  <c r="N25" i="11" s="1"/>
  <c r="D24" i="4"/>
  <c r="C24" i="4"/>
  <c r="C22" i="4" s="1"/>
  <c r="C25" i="6" s="1"/>
  <c r="E25" i="6" s="1"/>
  <c r="C25" i="11" s="1"/>
  <c r="L25" i="11" s="1"/>
  <c r="D22" i="4"/>
  <c r="C25" i="7" s="1"/>
  <c r="E25" i="7" s="1"/>
  <c r="D25" i="11" s="1"/>
  <c r="E21" i="4"/>
  <c r="C24" i="8" s="1"/>
  <c r="E24" i="8" s="1"/>
  <c r="E24" i="11" s="1"/>
  <c r="G20" i="4"/>
  <c r="C23" i="10" s="1"/>
  <c r="E23" i="10" s="1"/>
  <c r="G23" i="11" s="1"/>
  <c r="F20" i="4"/>
  <c r="C23" i="9" s="1"/>
  <c r="E23" i="9" s="1"/>
  <c r="F23" i="11" s="1"/>
  <c r="E20" i="4"/>
  <c r="C23" i="8" s="1"/>
  <c r="E23" i="8" s="1"/>
  <c r="E23" i="11" s="1"/>
  <c r="N23" i="11" s="1"/>
  <c r="D20" i="4"/>
  <c r="C23" i="7" s="1"/>
  <c r="E23" i="7" s="1"/>
  <c r="D23" i="11" s="1"/>
  <c r="C20" i="4"/>
  <c r="B23" i="6" s="1"/>
  <c r="F19" i="4"/>
  <c r="C22" i="9" s="1"/>
  <c r="E22" i="9" s="1"/>
  <c r="F22" i="11" s="1"/>
  <c r="E19" i="4"/>
  <c r="C22" i="8" s="1"/>
  <c r="E22" i="8" s="1"/>
  <c r="E22" i="11" s="1"/>
  <c r="D19" i="4"/>
  <c r="C22" i="7" s="1"/>
  <c r="E22" i="7" s="1"/>
  <c r="D22" i="11" s="1"/>
  <c r="C19" i="4"/>
  <c r="C22" i="6" s="1"/>
  <c r="G16" i="4"/>
  <c r="B20" i="10" s="1"/>
  <c r="E20" i="10" s="1"/>
  <c r="G20" i="11" s="1"/>
  <c r="P20" i="11" s="1"/>
  <c r="F16" i="4"/>
  <c r="B20" i="9" s="1"/>
  <c r="E20" i="9" s="1"/>
  <c r="F20" i="11" s="1"/>
  <c r="O20" i="11" s="1"/>
  <c r="E16" i="4"/>
  <c r="B20" i="8" s="1"/>
  <c r="E20" i="8" s="1"/>
  <c r="E20" i="11" s="1"/>
  <c r="D16" i="4"/>
  <c r="B20" i="7" s="1"/>
  <c r="E20" i="7" s="1"/>
  <c r="D20" i="11" s="1"/>
  <c r="G14" i="4"/>
  <c r="B18" i="10" s="1"/>
  <c r="E18" i="10" s="1"/>
  <c r="G18" i="11" s="1"/>
  <c r="F14" i="4"/>
  <c r="B18" i="9" s="1"/>
  <c r="E18" i="9" s="1"/>
  <c r="F18" i="11" s="1"/>
  <c r="E14" i="4"/>
  <c r="B18" i="8" s="1"/>
  <c r="E18" i="8" s="1"/>
  <c r="E18" i="11" s="1"/>
  <c r="N18" i="11" s="1"/>
  <c r="D14" i="4"/>
  <c r="B18" i="7" s="1"/>
  <c r="E18" i="7" s="1"/>
  <c r="D18" i="11" s="1"/>
  <c r="C14" i="4"/>
  <c r="B18" i="6" s="1"/>
  <c r="E18" i="6" s="1"/>
  <c r="C18" i="11" s="1"/>
  <c r="L18" i="11" s="1"/>
  <c r="G13" i="4"/>
  <c r="F13" i="4"/>
  <c r="G21" i="4" s="1"/>
  <c r="C24" i="10" s="1"/>
  <c r="E24" i="10" s="1"/>
  <c r="G24" i="11" s="1"/>
  <c r="P24" i="11" s="1"/>
  <c r="E13" i="4"/>
  <c r="F21" i="4" s="1"/>
  <c r="C24" i="9" s="1"/>
  <c r="E24" i="9" s="1"/>
  <c r="F24" i="11" s="1"/>
  <c r="O24" i="11" s="1"/>
  <c r="D13" i="4"/>
  <c r="C13" i="4"/>
  <c r="D21" i="4" s="1"/>
  <c r="C24" i="7" s="1"/>
  <c r="E24" i="7" s="1"/>
  <c r="D24" i="11" s="1"/>
  <c r="M24" i="11" s="1"/>
  <c r="F11" i="4"/>
  <c r="C17" i="9" s="1"/>
  <c r="E11" i="4"/>
  <c r="C17" i="8" s="1"/>
  <c r="D11" i="4"/>
  <c r="C17" i="7" s="1"/>
  <c r="G9" i="4"/>
  <c r="B16" i="10" s="1"/>
  <c r="E16" i="10" s="1"/>
  <c r="G16" i="11" s="1"/>
  <c r="F9" i="4"/>
  <c r="B16" i="9" s="1"/>
  <c r="E16" i="9" s="1"/>
  <c r="F16" i="11" s="1"/>
  <c r="O16" i="11" s="1"/>
  <c r="E9" i="4"/>
  <c r="B16" i="8" s="1"/>
  <c r="E16" i="8" s="1"/>
  <c r="E16" i="11" s="1"/>
  <c r="N16" i="11" s="1"/>
  <c r="D9" i="4"/>
  <c r="B16" i="7" s="1"/>
  <c r="E16" i="7" s="1"/>
  <c r="D16" i="11" s="1"/>
  <c r="C9" i="4"/>
  <c r="B16" i="6" s="1"/>
  <c r="E16" i="6" s="1"/>
  <c r="C16" i="11" s="1"/>
  <c r="L16" i="11" s="1"/>
  <c r="C8" i="4"/>
  <c r="D8" i="4" s="1"/>
  <c r="E8" i="4" s="1"/>
  <c r="F8" i="4" s="1"/>
  <c r="G8" i="4" s="1"/>
  <c r="C6" i="4"/>
  <c r="I5" i="4"/>
  <c r="I6" i="4" s="1"/>
  <c r="C5" i="4"/>
  <c r="D5" i="4" s="1"/>
  <c r="G4" i="4"/>
  <c r="F4" i="4"/>
  <c r="E4" i="4"/>
  <c r="D4" i="4"/>
  <c r="C4" i="4"/>
  <c r="B4" i="4"/>
  <c r="A1" i="4"/>
  <c r="G45" i="3"/>
  <c r="F45" i="3"/>
  <c r="E45" i="3"/>
  <c r="D45" i="3"/>
  <c r="C45" i="3"/>
  <c r="B45" i="3"/>
  <c r="G44" i="3"/>
  <c r="F44" i="3"/>
  <c r="E44" i="3"/>
  <c r="D44" i="3"/>
  <c r="C44" i="3"/>
  <c r="B44" i="3"/>
  <c r="G36" i="3"/>
  <c r="F36" i="3"/>
  <c r="E36" i="3"/>
  <c r="G32" i="3"/>
  <c r="B33" i="10" s="1"/>
  <c r="F32" i="3"/>
  <c r="B33" i="9" s="1"/>
  <c r="E32" i="3"/>
  <c r="B33" i="8" s="1"/>
  <c r="D32" i="3"/>
  <c r="B33" i="7" s="1"/>
  <c r="C32" i="3"/>
  <c r="B33" i="6" s="1"/>
  <c r="B32" i="3"/>
  <c r="B47" i="3" s="1"/>
  <c r="G30" i="3"/>
  <c r="F30" i="3"/>
  <c r="E30" i="3"/>
  <c r="D30" i="3"/>
  <c r="D36" i="3" s="1"/>
  <c r="C30" i="3"/>
  <c r="C36" i="3" s="1"/>
  <c r="B30" i="3"/>
  <c r="B36" i="3" s="1"/>
  <c r="F17" i="3"/>
  <c r="G15" i="3"/>
  <c r="B34" i="10" s="1"/>
  <c r="E34" i="10" s="1"/>
  <c r="G34" i="11" s="1"/>
  <c r="P34" i="11" s="1"/>
  <c r="F15" i="3"/>
  <c r="F35" i="3" s="1"/>
  <c r="E15" i="3"/>
  <c r="B34" i="8" s="1"/>
  <c r="E34" i="8" s="1"/>
  <c r="E34" i="11" s="1"/>
  <c r="N34" i="11" s="1"/>
  <c r="D15" i="3"/>
  <c r="D35" i="3" s="1"/>
  <c r="C15" i="3"/>
  <c r="C35" i="3" s="1"/>
  <c r="C37" i="3" s="1"/>
  <c r="B15" i="3"/>
  <c r="B35" i="3" s="1"/>
  <c r="B37" i="3" s="1"/>
  <c r="F5" i="3"/>
  <c r="D5" i="3"/>
  <c r="B5" i="3"/>
  <c r="B17" i="3" s="1"/>
  <c r="G4" i="3"/>
  <c r="F4" i="3"/>
  <c r="E4" i="3"/>
  <c r="D4" i="3"/>
  <c r="C4" i="3"/>
  <c r="B4" i="3"/>
  <c r="A1" i="3"/>
  <c r="F26" i="2"/>
  <c r="E26" i="2"/>
  <c r="D26" i="2"/>
  <c r="C26" i="2"/>
  <c r="F23" i="2"/>
  <c r="E6" i="10" s="1"/>
  <c r="E23" i="2"/>
  <c r="E6" i="9" s="1"/>
  <c r="D23" i="2"/>
  <c r="E6" i="8" s="1"/>
  <c r="C23" i="2"/>
  <c r="D18" i="4" s="1"/>
  <c r="B21" i="7" s="1"/>
  <c r="E21" i="7" s="1"/>
  <c r="D21" i="11" s="1"/>
  <c r="B23" i="2"/>
  <c r="C18" i="4" s="1"/>
  <c r="B21" i="6" s="1"/>
  <c r="E21" i="6" s="1"/>
  <c r="C21" i="11" s="1"/>
  <c r="L21" i="11" s="1"/>
  <c r="F21" i="2"/>
  <c r="E21" i="2"/>
  <c r="E5" i="9" s="1"/>
  <c r="D21" i="2"/>
  <c r="C21" i="2"/>
  <c r="E5" i="7" s="1"/>
  <c r="B21" i="2"/>
  <c r="B94" i="6" s="1"/>
  <c r="A1" i="2"/>
  <c r="D6" i="4" l="1"/>
  <c r="E5" i="4"/>
  <c r="D39" i="3"/>
  <c r="D37" i="3"/>
  <c r="B60" i="7" s="1"/>
  <c r="E60" i="7" s="1"/>
  <c r="D60" i="11" s="1"/>
  <c r="C47" i="8"/>
  <c r="E17" i="8"/>
  <c r="E17" i="11" s="1"/>
  <c r="N17" i="11" s="1"/>
  <c r="C30" i="8"/>
  <c r="L17" i="11"/>
  <c r="P22" i="11"/>
  <c r="F39" i="3"/>
  <c r="F37" i="3"/>
  <c r="C47" i="9"/>
  <c r="E17" i="9"/>
  <c r="F17" i="11" s="1"/>
  <c r="O17" i="11" s="1"/>
  <c r="C30" i="9"/>
  <c r="M25" i="11"/>
  <c r="C47" i="7"/>
  <c r="C30" i="7"/>
  <c r="E17" i="7"/>
  <c r="D17" i="11" s="1"/>
  <c r="M17" i="11" s="1"/>
  <c r="C8" i="12"/>
  <c r="L29" i="11"/>
  <c r="M21" i="11"/>
  <c r="D40" i="3"/>
  <c r="E33" i="6"/>
  <c r="C9" i="12"/>
  <c r="L9" i="11"/>
  <c r="B35" i="7"/>
  <c r="E35" i="7" s="1"/>
  <c r="D35" i="11" s="1"/>
  <c r="E33" i="7"/>
  <c r="M20" i="11"/>
  <c r="B34" i="11"/>
  <c r="B60" i="6"/>
  <c r="E60" i="6" s="1"/>
  <c r="C60" i="11" s="1"/>
  <c r="L60" i="11" s="1"/>
  <c r="B40" i="6"/>
  <c r="E33" i="8"/>
  <c r="B35" i="8"/>
  <c r="E35" i="8" s="1"/>
  <c r="E35" i="11" s="1"/>
  <c r="B35" i="9"/>
  <c r="E35" i="9" s="1"/>
  <c r="F35" i="11" s="1"/>
  <c r="E33" i="9"/>
  <c r="D102" i="11"/>
  <c r="F103" i="11"/>
  <c r="A1" i="12"/>
  <c r="A1" i="11"/>
  <c r="A1" i="9"/>
  <c r="A1" i="8"/>
  <c r="A1" i="10"/>
  <c r="A1" i="7"/>
  <c r="G11" i="4"/>
  <c r="C17" i="10" s="1"/>
  <c r="B94" i="8"/>
  <c r="B73" i="8"/>
  <c r="E73" i="8" s="1"/>
  <c r="E73" i="11" s="1"/>
  <c r="E5" i="8"/>
  <c r="E102" i="11"/>
  <c r="E18" i="4"/>
  <c r="B21" i="8" s="1"/>
  <c r="E21" i="8" s="1"/>
  <c r="E21" i="11" s="1"/>
  <c r="N21" i="11" s="1"/>
  <c r="D70" i="4"/>
  <c r="B12" i="8" s="1"/>
  <c r="A1" i="5"/>
  <c r="M65" i="11"/>
  <c r="E8" i="11"/>
  <c r="N65" i="11"/>
  <c r="O39" i="11"/>
  <c r="O49" i="11"/>
  <c r="B67" i="10"/>
  <c r="E67" i="10" s="1"/>
  <c r="G67" i="11" s="1"/>
  <c r="E67" i="9"/>
  <c r="F67" i="11" s="1"/>
  <c r="O67" i="11" s="1"/>
  <c r="P39" i="11"/>
  <c r="P63" i="11"/>
  <c r="E33" i="10"/>
  <c r="B35" i="10"/>
  <c r="E35" i="10" s="1"/>
  <c r="G35" i="11" s="1"/>
  <c r="P35" i="11" s="1"/>
  <c r="G103" i="11"/>
  <c r="M16" i="11"/>
  <c r="O18" i="11"/>
  <c r="L34" i="11"/>
  <c r="D9" i="12"/>
  <c r="M9" i="11"/>
  <c r="M59" i="11"/>
  <c r="D26" i="12"/>
  <c r="M70" i="11"/>
  <c r="F4" i="12"/>
  <c r="F5" i="11"/>
  <c r="B44" i="9"/>
  <c r="E44" i="9" s="1"/>
  <c r="F44" i="11" s="1"/>
  <c r="O44" i="11" s="1"/>
  <c r="D17" i="3"/>
  <c r="F102" i="11"/>
  <c r="P18" i="11"/>
  <c r="F18" i="4"/>
  <c r="B21" i="9" s="1"/>
  <c r="E21" i="9" s="1"/>
  <c r="F21" i="11" s="1"/>
  <c r="E70" i="4"/>
  <c r="B12" i="9" s="1"/>
  <c r="B55" i="5"/>
  <c r="D55" i="5" s="1"/>
  <c r="B55" i="11" s="1"/>
  <c r="E5" i="6"/>
  <c r="C23" i="6"/>
  <c r="E23" i="6" s="1"/>
  <c r="C23" i="11" s="1"/>
  <c r="L23" i="11" s="1"/>
  <c r="D79" i="6"/>
  <c r="D84" i="6" s="1"/>
  <c r="C25" i="12"/>
  <c r="L66" i="11"/>
  <c r="B73" i="6"/>
  <c r="E73" i="6" s="1"/>
  <c r="C73" i="11" s="1"/>
  <c r="D13" i="12"/>
  <c r="M10" i="11"/>
  <c r="M51" i="11"/>
  <c r="D25" i="12"/>
  <c r="M66" i="11"/>
  <c r="F12" i="12"/>
  <c r="O8" i="11"/>
  <c r="P65" i="11"/>
  <c r="C11" i="11"/>
  <c r="E35" i="3"/>
  <c r="E37" i="3" s="1"/>
  <c r="B42" i="8" s="1"/>
  <c r="E42" i="8" s="1"/>
  <c r="E42" i="11" s="1"/>
  <c r="N42" i="11" s="1"/>
  <c r="E47" i="3"/>
  <c r="E5" i="12"/>
  <c r="E6" i="11"/>
  <c r="B28" i="8"/>
  <c r="B15" i="8"/>
  <c r="E15" i="8" s="1"/>
  <c r="E15" i="11" s="1"/>
  <c r="E5" i="10"/>
  <c r="B94" i="10"/>
  <c r="B73" i="10"/>
  <c r="E73" i="10" s="1"/>
  <c r="G73" i="11" s="1"/>
  <c r="G102" i="11"/>
  <c r="C47" i="3"/>
  <c r="G18" i="4"/>
  <c r="B21" i="10" s="1"/>
  <c r="E21" i="10" s="1"/>
  <c r="G21" i="11" s="1"/>
  <c r="P21" i="11" s="1"/>
  <c r="F70" i="4"/>
  <c r="B12" i="10" s="1"/>
  <c r="E6" i="6"/>
  <c r="L14" i="11"/>
  <c r="L46" i="11"/>
  <c r="L53" i="11"/>
  <c r="M46" i="11"/>
  <c r="D22" i="12"/>
  <c r="M52" i="11"/>
  <c r="N19" i="11"/>
  <c r="O51" i="11"/>
  <c r="G8" i="11"/>
  <c r="P52" i="11"/>
  <c r="G22" i="12"/>
  <c r="D47" i="3"/>
  <c r="P16" i="11"/>
  <c r="N20" i="11"/>
  <c r="O23" i="11"/>
  <c r="C35" i="4"/>
  <c r="B54" i="6" s="1"/>
  <c r="E54" i="6" s="1"/>
  <c r="C54" i="11" s="1"/>
  <c r="L54" i="11" s="1"/>
  <c r="B72" i="4"/>
  <c r="B13" i="6" s="1"/>
  <c r="E13" i="6" s="1"/>
  <c r="C13" i="11" s="1"/>
  <c r="L13" i="11" s="1"/>
  <c r="B12" i="12"/>
  <c r="B30" i="11"/>
  <c r="B79" i="11" s="1"/>
  <c r="B85" i="11" s="1"/>
  <c r="B10" i="12"/>
  <c r="C30" i="5"/>
  <c r="C77" i="5" s="1"/>
  <c r="C82" i="5" s="1"/>
  <c r="C12" i="12"/>
  <c r="L8" i="11"/>
  <c r="L42" i="11"/>
  <c r="L68" i="11"/>
  <c r="C106" i="11"/>
  <c r="M39" i="11"/>
  <c r="B73" i="7"/>
  <c r="E73" i="7" s="1"/>
  <c r="D73" i="11" s="1"/>
  <c r="N59" i="11"/>
  <c r="E27" i="12"/>
  <c r="N69" i="11"/>
  <c r="G9" i="12"/>
  <c r="P9" i="11"/>
  <c r="G8" i="12"/>
  <c r="P29" i="11"/>
  <c r="P53" i="11"/>
  <c r="L52" i="11"/>
  <c r="C22" i="12"/>
  <c r="C21" i="12" s="1"/>
  <c r="P23" i="11"/>
  <c r="D35" i="4"/>
  <c r="B54" i="7" s="1"/>
  <c r="E54" i="7" s="1"/>
  <c r="D54" i="11" s="1"/>
  <c r="C72" i="4"/>
  <c r="B13" i="7" s="1"/>
  <c r="E13" i="7" s="1"/>
  <c r="D13" i="11" s="1"/>
  <c r="D30" i="5"/>
  <c r="B81" i="11"/>
  <c r="B33" i="12"/>
  <c r="C27" i="12"/>
  <c r="L69" i="11"/>
  <c r="M41" i="11"/>
  <c r="M48" i="11"/>
  <c r="E26" i="12"/>
  <c r="N70" i="11"/>
  <c r="P45" i="11"/>
  <c r="D103" i="11"/>
  <c r="F47" i="3"/>
  <c r="N22" i="11"/>
  <c r="G22" i="4"/>
  <c r="C25" i="10" s="1"/>
  <c r="E25" i="10" s="1"/>
  <c r="G25" i="11" s="1"/>
  <c r="P25" i="11" s="1"/>
  <c r="E35" i="4"/>
  <c r="B54" i="8" s="1"/>
  <c r="E54" i="8" s="1"/>
  <c r="E54" i="11" s="1"/>
  <c r="N54" i="11" s="1"/>
  <c r="D72" i="4"/>
  <c r="B13" i="8" s="1"/>
  <c r="E13" i="8" s="1"/>
  <c r="E13" i="11" s="1"/>
  <c r="N13" i="11" s="1"/>
  <c r="B18" i="12"/>
  <c r="B77" i="11"/>
  <c r="B25" i="12"/>
  <c r="C13" i="12"/>
  <c r="L10" i="11"/>
  <c r="L48" i="11"/>
  <c r="L63" i="11"/>
  <c r="C24" i="12"/>
  <c r="M42" i="11"/>
  <c r="M76" i="11"/>
  <c r="B94" i="7"/>
  <c r="N43" i="11"/>
  <c r="N51" i="11"/>
  <c r="O45" i="11"/>
  <c r="F28" i="12"/>
  <c r="O72" i="11"/>
  <c r="L19" i="11"/>
  <c r="L43" i="11"/>
  <c r="E103" i="11"/>
  <c r="G47" i="3"/>
  <c r="B28" i="6"/>
  <c r="M18" i="11"/>
  <c r="F11" i="12"/>
  <c r="O22" i="11"/>
  <c r="N24" i="11"/>
  <c r="F35" i="4"/>
  <c r="B54" i="9" s="1"/>
  <c r="E54" i="9" s="1"/>
  <c r="F54" i="11" s="1"/>
  <c r="O54" i="11" s="1"/>
  <c r="B70" i="4"/>
  <c r="B12" i="6" s="1"/>
  <c r="E72" i="4"/>
  <c r="B13" i="9" s="1"/>
  <c r="E13" i="9" s="1"/>
  <c r="F13" i="11" s="1"/>
  <c r="B11" i="12"/>
  <c r="B20" i="12"/>
  <c r="B75" i="5"/>
  <c r="B93" i="5" s="1"/>
  <c r="B95" i="5" s="1"/>
  <c r="D87" i="5" s="1"/>
  <c r="B90" i="11" s="1"/>
  <c r="B42" i="12" s="1"/>
  <c r="A1" i="6"/>
  <c r="C30" i="6"/>
  <c r="B22" i="6"/>
  <c r="E22" i="6" s="1"/>
  <c r="C22" i="11" s="1"/>
  <c r="D77" i="6"/>
  <c r="L70" i="11"/>
  <c r="C26" i="12"/>
  <c r="M49" i="11"/>
  <c r="B57" i="8"/>
  <c r="E57" i="7"/>
  <c r="D57" i="11" s="1"/>
  <c r="M57" i="11" s="1"/>
  <c r="D77" i="7"/>
  <c r="D79" i="7" s="1"/>
  <c r="D84" i="7" s="1"/>
  <c r="O65" i="11"/>
  <c r="B73" i="9"/>
  <c r="E73" i="9" s="1"/>
  <c r="F73" i="11" s="1"/>
  <c r="P14" i="11"/>
  <c r="B26" i="10"/>
  <c r="E26" i="10" s="1"/>
  <c r="G26" i="11" s="1"/>
  <c r="P26" i="11" s="1"/>
  <c r="E6" i="7"/>
  <c r="B26" i="7"/>
  <c r="E26" i="7" s="1"/>
  <c r="D26" i="11" s="1"/>
  <c r="B26" i="9"/>
  <c r="E26" i="9" s="1"/>
  <c r="F26" i="11" s="1"/>
  <c r="O26" i="11" s="1"/>
  <c r="B26" i="8"/>
  <c r="E26" i="8" s="1"/>
  <c r="E26" i="11" s="1"/>
  <c r="N26" i="11" s="1"/>
  <c r="B26" i="6"/>
  <c r="E26" i="6" s="1"/>
  <c r="C26" i="11" s="1"/>
  <c r="L26" i="11" s="1"/>
  <c r="C103" i="11"/>
  <c r="F5" i="12"/>
  <c r="F6" i="11"/>
  <c r="B15" i="9"/>
  <c r="E15" i="9" s="1"/>
  <c r="F15" i="11" s="1"/>
  <c r="G35" i="3"/>
  <c r="G37" i="3" s="1"/>
  <c r="C102" i="11"/>
  <c r="D4" i="12"/>
  <c r="D5" i="11"/>
  <c r="G5" i="12"/>
  <c r="G6" i="11"/>
  <c r="G35" i="4"/>
  <c r="B54" i="10" s="1"/>
  <c r="E54" i="10" s="1"/>
  <c r="G54" i="11" s="1"/>
  <c r="P54" i="11" s="1"/>
  <c r="C70" i="4"/>
  <c r="B12" i="7" s="1"/>
  <c r="F72" i="4"/>
  <c r="B13" i="10" s="1"/>
  <c r="E13" i="10" s="1"/>
  <c r="G13" i="11" s="1"/>
  <c r="P13" i="11" s="1"/>
  <c r="B14" i="12"/>
  <c r="B15" i="12"/>
  <c r="B21" i="12"/>
  <c r="B106" i="11"/>
  <c r="B107" i="11" s="1"/>
  <c r="E45" i="6"/>
  <c r="C45" i="11" s="1"/>
  <c r="L45" i="11" s="1"/>
  <c r="M27" i="11"/>
  <c r="N45" i="11"/>
  <c r="O14" i="11"/>
  <c r="F25" i="12"/>
  <c r="O66" i="11"/>
  <c r="B94" i="9"/>
  <c r="B15" i="10"/>
  <c r="E15" i="10" s="1"/>
  <c r="G15" i="11" s="1"/>
  <c r="P38" i="11"/>
  <c r="P48" i="11"/>
  <c r="G28" i="12"/>
  <c r="P72" i="11"/>
  <c r="L64" i="11"/>
  <c r="M34" i="11"/>
  <c r="M44" i="11"/>
  <c r="M53" i="11"/>
  <c r="M71" i="11"/>
  <c r="D81" i="11"/>
  <c r="D33" i="12"/>
  <c r="B36" i="8"/>
  <c r="E36" i="8" s="1"/>
  <c r="E36" i="11" s="1"/>
  <c r="N36" i="11" s="1"/>
  <c r="B50" i="8"/>
  <c r="N60" i="11"/>
  <c r="N71" i="11"/>
  <c r="E81" i="11"/>
  <c r="E33" i="12"/>
  <c r="O41" i="11"/>
  <c r="G25" i="12"/>
  <c r="P66" i="11"/>
  <c r="M11" i="11"/>
  <c r="L36" i="11"/>
  <c r="L50" i="11"/>
  <c r="M58" i="11"/>
  <c r="D28" i="12"/>
  <c r="M72" i="11"/>
  <c r="N46" i="11"/>
  <c r="E28" i="12"/>
  <c r="N72" i="11"/>
  <c r="F22" i="12"/>
  <c r="O52" i="11"/>
  <c r="O68" i="11"/>
  <c r="P11" i="11"/>
  <c r="P75" i="11"/>
  <c r="N9" i="11"/>
  <c r="M29" i="11"/>
  <c r="E25" i="12"/>
  <c r="N66" i="11"/>
  <c r="O27" i="11"/>
  <c r="O63" i="11"/>
  <c r="F24" i="12"/>
  <c r="F27" i="12"/>
  <c r="O69" i="11"/>
  <c r="F13" i="12"/>
  <c r="O10" i="11"/>
  <c r="N29" i="11"/>
  <c r="O34" i="11"/>
  <c r="C81" i="11"/>
  <c r="C33" i="12"/>
  <c r="M63" i="11"/>
  <c r="D24" i="12"/>
  <c r="D106" i="11"/>
  <c r="D21" i="12"/>
  <c r="M68" i="11"/>
  <c r="M106" i="11" s="1"/>
  <c r="F9" i="12"/>
  <c r="O9" i="11"/>
  <c r="O19" i="11"/>
  <c r="O43" i="11"/>
  <c r="O58" i="11"/>
  <c r="P70" i="11"/>
  <c r="G26" i="12"/>
  <c r="O75" i="11"/>
  <c r="P43" i="11"/>
  <c r="B49" i="10"/>
  <c r="E49" i="10" s="1"/>
  <c r="G49" i="11" s="1"/>
  <c r="P49" i="11" s="1"/>
  <c r="G13" i="12"/>
  <c r="P10" i="11"/>
  <c r="P36" i="11"/>
  <c r="P46" i="11"/>
  <c r="L57" i="11"/>
  <c r="C29" i="12"/>
  <c r="L71" i="11"/>
  <c r="M64" i="11"/>
  <c r="E13" i="12"/>
  <c r="N10" i="11"/>
  <c r="E22" i="12"/>
  <c r="N52" i="11"/>
  <c r="O59" i="11"/>
  <c r="E70" i="9"/>
  <c r="F70" i="11" s="1"/>
  <c r="O76" i="11"/>
  <c r="K79" i="11"/>
  <c r="K85" i="11" s="1"/>
  <c r="L38" i="11"/>
  <c r="L44" i="11"/>
  <c r="L58" i="11"/>
  <c r="L67" i="11"/>
  <c r="L72" i="11"/>
  <c r="C28" i="12"/>
  <c r="D12" i="12"/>
  <c r="M8" i="11"/>
  <c r="M14" i="11"/>
  <c r="D27" i="12"/>
  <c r="M69" i="11"/>
  <c r="N38" i="11"/>
  <c r="N48" i="11"/>
  <c r="N53" i="11"/>
  <c r="N63" i="11"/>
  <c r="N68" i="11"/>
  <c r="O11" i="11"/>
  <c r="F8" i="12"/>
  <c r="O29" i="11"/>
  <c r="O60" i="11"/>
  <c r="O71" i="11"/>
  <c r="F81" i="11"/>
  <c r="F33" i="12"/>
  <c r="P51" i="11"/>
  <c r="O53" i="11"/>
  <c r="P59" i="11"/>
  <c r="P68" i="11"/>
  <c r="P60" i="11"/>
  <c r="L74" i="11"/>
  <c r="G27" i="12"/>
  <c r="P69" i="11"/>
  <c r="K106" i="11"/>
  <c r="K107" i="11" s="1"/>
  <c r="P76" i="11"/>
  <c r="K95" i="11"/>
  <c r="K96" i="11" s="1"/>
  <c r="K98" i="11"/>
  <c r="K99" i="11" s="1"/>
  <c r="P71" i="11"/>
  <c r="G81" i="11"/>
  <c r="G33" i="12"/>
  <c r="B30" i="12" l="1"/>
  <c r="G33" i="11"/>
  <c r="B56" i="10"/>
  <c r="E56" i="10" s="1"/>
  <c r="G56" i="11" s="1"/>
  <c r="B55" i="10"/>
  <c r="E55" i="10" s="1"/>
  <c r="G55" i="11" s="1"/>
  <c r="P55" i="11" s="1"/>
  <c r="B37" i="10"/>
  <c r="E37" i="10" s="1"/>
  <c r="G37" i="11" s="1"/>
  <c r="B62" i="6"/>
  <c r="E62" i="6" s="1"/>
  <c r="C62" i="11" s="1"/>
  <c r="L62" i="11" s="1"/>
  <c r="B61" i="6"/>
  <c r="E61" i="6" s="1"/>
  <c r="C61" i="11" s="1"/>
  <c r="E28" i="6"/>
  <c r="C28" i="11" s="1"/>
  <c r="G23" i="12"/>
  <c r="P73" i="11"/>
  <c r="O35" i="11"/>
  <c r="B40" i="7"/>
  <c r="E40" i="6"/>
  <c r="C40" i="11" s="1"/>
  <c r="L40" i="11" s="1"/>
  <c r="B42" i="9"/>
  <c r="E42" i="9" s="1"/>
  <c r="F42" i="11" s="1"/>
  <c r="F40" i="3"/>
  <c r="B40" i="9"/>
  <c r="E40" i="9" s="1"/>
  <c r="F40" i="11" s="1"/>
  <c r="E47" i="8"/>
  <c r="E47" i="11" s="1"/>
  <c r="C77" i="8"/>
  <c r="C79" i="8" s="1"/>
  <c r="C84" i="8" s="1"/>
  <c r="D5" i="12"/>
  <c r="D6" i="11"/>
  <c r="B15" i="7"/>
  <c r="E15" i="7" s="1"/>
  <c r="D15" i="11" s="1"/>
  <c r="B28" i="7"/>
  <c r="G12" i="12"/>
  <c r="P8" i="11"/>
  <c r="E47" i="9"/>
  <c r="F47" i="11" s="1"/>
  <c r="C77" i="9"/>
  <c r="F23" i="12"/>
  <c r="O73" i="11"/>
  <c r="O13" i="11"/>
  <c r="M13" i="11"/>
  <c r="D23" i="12"/>
  <c r="M73" i="11"/>
  <c r="L11" i="11"/>
  <c r="M45" i="11"/>
  <c r="C4" i="12"/>
  <c r="C5" i="11"/>
  <c r="C5" i="3"/>
  <c r="E4" i="12"/>
  <c r="E5" i="11"/>
  <c r="E5" i="3"/>
  <c r="B64" i="8"/>
  <c r="E64" i="8" s="1"/>
  <c r="E64" i="11" s="1"/>
  <c r="E12" i="7"/>
  <c r="E12" i="6"/>
  <c r="B30" i="6"/>
  <c r="M54" i="11"/>
  <c r="C5" i="12"/>
  <c r="C6" i="11"/>
  <c r="B15" i="6"/>
  <c r="E15" i="6" s="1"/>
  <c r="C15" i="11" s="1"/>
  <c r="G4" i="12"/>
  <c r="G5" i="11"/>
  <c r="B64" i="10"/>
  <c r="E64" i="10" s="1"/>
  <c r="G64" i="11" s="1"/>
  <c r="B44" i="10"/>
  <c r="E44" i="10" s="1"/>
  <c r="G44" i="11" s="1"/>
  <c r="P44" i="11" s="1"/>
  <c r="G5" i="3"/>
  <c r="E12" i="12"/>
  <c r="N8" i="11"/>
  <c r="E23" i="12"/>
  <c r="N73" i="11"/>
  <c r="D75" i="5"/>
  <c r="D77" i="5" s="1"/>
  <c r="D82" i="5" s="1"/>
  <c r="D86" i="5" s="1"/>
  <c r="C77" i="7"/>
  <c r="C79" i="7" s="1"/>
  <c r="C84" i="7" s="1"/>
  <c r="E47" i="7"/>
  <c r="D47" i="11" s="1"/>
  <c r="M60" i="11"/>
  <c r="E57" i="8"/>
  <c r="E57" i="11" s="1"/>
  <c r="N57" i="11" s="1"/>
  <c r="B57" i="9"/>
  <c r="B31" i="12"/>
  <c r="B36" i="12" s="1"/>
  <c r="B42" i="10"/>
  <c r="E42" i="10" s="1"/>
  <c r="G42" i="11" s="1"/>
  <c r="B40" i="10"/>
  <c r="E40" i="10" s="1"/>
  <c r="G40" i="11" s="1"/>
  <c r="O36" i="11"/>
  <c r="C11" i="12"/>
  <c r="L22" i="11"/>
  <c r="E11" i="12"/>
  <c r="E12" i="10"/>
  <c r="E10" i="12"/>
  <c r="N15" i="11"/>
  <c r="E12" i="9"/>
  <c r="M23" i="11"/>
  <c r="B55" i="6"/>
  <c r="E55" i="6" s="1"/>
  <c r="C55" i="11" s="1"/>
  <c r="L55" i="11" s="1"/>
  <c r="B56" i="6"/>
  <c r="E56" i="6" s="1"/>
  <c r="C56" i="11" s="1"/>
  <c r="L56" i="11" s="1"/>
  <c r="C33" i="11"/>
  <c r="B37" i="6"/>
  <c r="E37" i="6" s="1"/>
  <c r="C37" i="11" s="1"/>
  <c r="L37" i="11" s="1"/>
  <c r="B35" i="6"/>
  <c r="B77" i="5"/>
  <c r="B82" i="5" s="1"/>
  <c r="G11" i="12"/>
  <c r="E33" i="11"/>
  <c r="B56" i="8"/>
  <c r="E56" i="8" s="1"/>
  <c r="E56" i="11" s="1"/>
  <c r="B37" i="8"/>
  <c r="E37" i="8" s="1"/>
  <c r="E37" i="11" s="1"/>
  <c r="B55" i="8"/>
  <c r="E55" i="8" s="1"/>
  <c r="E55" i="11" s="1"/>
  <c r="N55" i="11" s="1"/>
  <c r="F10" i="12"/>
  <c r="O15" i="11"/>
  <c r="M22" i="11"/>
  <c r="L106" i="11"/>
  <c r="E28" i="8"/>
  <c r="E28" i="11" s="1"/>
  <c r="B62" i="8"/>
  <c r="E62" i="8" s="1"/>
  <c r="E62" i="11" s="1"/>
  <c r="B61" i="8"/>
  <c r="E61" i="8" s="1"/>
  <c r="E61" i="11" s="1"/>
  <c r="C23" i="12"/>
  <c r="L73" i="11"/>
  <c r="O21" i="11"/>
  <c r="C47" i="10"/>
  <c r="C30" i="10"/>
  <c r="E17" i="10"/>
  <c r="G17" i="11" s="1"/>
  <c r="P17" i="11" s="1"/>
  <c r="N35" i="11"/>
  <c r="E6" i="4"/>
  <c r="F5" i="4"/>
  <c r="F33" i="11"/>
  <c r="B55" i="9"/>
  <c r="E55" i="9" s="1"/>
  <c r="F55" i="11" s="1"/>
  <c r="B37" i="9"/>
  <c r="B56" i="9"/>
  <c r="E56" i="9" s="1"/>
  <c r="F56" i="11" s="1"/>
  <c r="O70" i="11"/>
  <c r="F26" i="12"/>
  <c r="B50" i="9"/>
  <c r="E50" i="8"/>
  <c r="E50" i="11" s="1"/>
  <c r="P15" i="11"/>
  <c r="M26" i="11"/>
  <c r="K104" i="11"/>
  <c r="D11" i="12"/>
  <c r="P67" i="11"/>
  <c r="E12" i="8"/>
  <c r="B30" i="8"/>
  <c r="D33" i="11"/>
  <c r="B56" i="7"/>
  <c r="E56" i="7" s="1"/>
  <c r="D56" i="11" s="1"/>
  <c r="M56" i="11" s="1"/>
  <c r="B37" i="7"/>
  <c r="B55" i="7"/>
  <c r="E55" i="7" s="1"/>
  <c r="D55" i="11" s="1"/>
  <c r="M55" i="11" s="1"/>
  <c r="C79" i="9"/>
  <c r="C84" i="9" s="1"/>
  <c r="C47" i="6"/>
  <c r="B89" i="11" l="1"/>
  <c r="B41" i="12" s="1"/>
  <c r="E86" i="6"/>
  <c r="D88" i="5"/>
  <c r="G95" i="11"/>
  <c r="E37" i="7"/>
  <c r="F12" i="11"/>
  <c r="C39" i="3"/>
  <c r="C40" i="3"/>
  <c r="C17" i="3"/>
  <c r="N47" i="11"/>
  <c r="E20" i="12"/>
  <c r="L33" i="11"/>
  <c r="G17" i="3"/>
  <c r="G40" i="3"/>
  <c r="G39" i="3"/>
  <c r="P40" i="11"/>
  <c r="B62" i="7"/>
  <c r="E62" i="7" s="1"/>
  <c r="D62" i="11" s="1"/>
  <c r="M62" i="11" s="1"/>
  <c r="E28" i="7"/>
  <c r="D28" i="11" s="1"/>
  <c r="B61" i="7"/>
  <c r="E61" i="7" s="1"/>
  <c r="D61" i="11" s="1"/>
  <c r="P56" i="11"/>
  <c r="O33" i="11"/>
  <c r="N56" i="11"/>
  <c r="N33" i="11"/>
  <c r="P42" i="11"/>
  <c r="G20" i="12"/>
  <c r="P64" i="11"/>
  <c r="G24" i="12"/>
  <c r="B74" i="6"/>
  <c r="D10" i="12"/>
  <c r="M15" i="11"/>
  <c r="O42" i="11"/>
  <c r="F20" i="12"/>
  <c r="C7" i="12"/>
  <c r="L28" i="11"/>
  <c r="G18" i="12"/>
  <c r="P33" i="11"/>
  <c r="E35" i="6"/>
  <c r="B77" i="6"/>
  <c r="B95" i="6" s="1"/>
  <c r="B97" i="6" s="1"/>
  <c r="E88" i="6" s="1"/>
  <c r="C90" i="11" s="1"/>
  <c r="C42" i="12" s="1"/>
  <c r="M47" i="11"/>
  <c r="D20" i="12"/>
  <c r="E47" i="6"/>
  <c r="C47" i="11" s="1"/>
  <c r="C77" i="6"/>
  <c r="C79" i="6" s="1"/>
  <c r="C84" i="6" s="1"/>
  <c r="G12" i="11"/>
  <c r="C12" i="11"/>
  <c r="E30" i="6"/>
  <c r="N64" i="11"/>
  <c r="E24" i="12"/>
  <c r="O64" i="11"/>
  <c r="C19" i="12"/>
  <c r="L61" i="11"/>
  <c r="G5" i="4"/>
  <c r="F6" i="4"/>
  <c r="B28" i="9"/>
  <c r="O56" i="11"/>
  <c r="E37" i="9"/>
  <c r="E19" i="12"/>
  <c r="N61" i="11"/>
  <c r="E12" i="11"/>
  <c r="E30" i="8"/>
  <c r="G10" i="12"/>
  <c r="C79" i="10"/>
  <c r="C84" i="10" s="1"/>
  <c r="B30" i="7"/>
  <c r="E39" i="3"/>
  <c r="E40" i="3"/>
  <c r="E17" i="3"/>
  <c r="E40" i="7"/>
  <c r="D40" i="11" s="1"/>
  <c r="M40" i="11" s="1"/>
  <c r="B40" i="8"/>
  <c r="B50" i="10"/>
  <c r="E50" i="9"/>
  <c r="F50" i="11" s="1"/>
  <c r="M33" i="11"/>
  <c r="B74" i="8"/>
  <c r="E74" i="8" s="1"/>
  <c r="E74" i="11" s="1"/>
  <c r="N50" i="11"/>
  <c r="N106" i="11" s="1"/>
  <c r="E106" i="11"/>
  <c r="O55" i="11"/>
  <c r="E47" i="10"/>
  <c r="G47" i="11" s="1"/>
  <c r="C77" i="10"/>
  <c r="E7" i="12"/>
  <c r="N28" i="11"/>
  <c r="B57" i="10"/>
  <c r="E57" i="10" s="1"/>
  <c r="G57" i="11" s="1"/>
  <c r="E57" i="9"/>
  <c r="F57" i="11" s="1"/>
  <c r="O57" i="11" s="1"/>
  <c r="C10" i="12"/>
  <c r="L15" i="11"/>
  <c r="D12" i="11"/>
  <c r="E30" i="7"/>
  <c r="O47" i="11"/>
  <c r="E21" i="12"/>
  <c r="D37" i="11" l="1"/>
  <c r="E50" i="10"/>
  <c r="G50" i="11" s="1"/>
  <c r="E28" i="9"/>
  <c r="B62" i="9"/>
  <c r="E62" i="9" s="1"/>
  <c r="F62" i="11" s="1"/>
  <c r="O62" i="11" s="1"/>
  <c r="B61" i="9"/>
  <c r="B30" i="9"/>
  <c r="M12" i="11"/>
  <c r="D14" i="12"/>
  <c r="D30" i="11"/>
  <c r="N12" i="11"/>
  <c r="N30" i="11" s="1"/>
  <c r="E14" i="12"/>
  <c r="E15" i="12" s="1"/>
  <c r="E30" i="11"/>
  <c r="G6" i="4"/>
  <c r="B28" i="10"/>
  <c r="L12" i="11"/>
  <c r="L30" i="11" s="1"/>
  <c r="C30" i="11"/>
  <c r="C14" i="12"/>
  <c r="C15" i="12" s="1"/>
  <c r="C35" i="11"/>
  <c r="E77" i="6"/>
  <c r="D19" i="12"/>
  <c r="M61" i="11"/>
  <c r="D7" i="12"/>
  <c r="D15" i="12" s="1"/>
  <c r="M28" i="11"/>
  <c r="E29" i="12"/>
  <c r="P12" i="11"/>
  <c r="G14" i="12"/>
  <c r="B79" i="6"/>
  <c r="B91" i="11"/>
  <c r="B43" i="12" s="1"/>
  <c r="D89" i="5"/>
  <c r="B92" i="11" s="1"/>
  <c r="B44" i="12" s="1"/>
  <c r="E40" i="8"/>
  <c r="B77" i="8"/>
  <c r="P47" i="11"/>
  <c r="B74" i="7"/>
  <c r="C87" i="11"/>
  <c r="C39" i="12" s="1"/>
  <c r="P57" i="11"/>
  <c r="O50" i="11"/>
  <c r="O106" i="11" s="1"/>
  <c r="F21" i="12"/>
  <c r="F106" i="11"/>
  <c r="N62" i="11"/>
  <c r="F37" i="11"/>
  <c r="L47" i="11"/>
  <c r="C20" i="12"/>
  <c r="O12" i="11"/>
  <c r="F14" i="12"/>
  <c r="L35" i="11" l="1"/>
  <c r="C95" i="11"/>
  <c r="C96" i="11" s="1"/>
  <c r="C98" i="11"/>
  <c r="C99" i="11" s="1"/>
  <c r="M35" i="11"/>
  <c r="C18" i="12"/>
  <c r="C30" i="12" s="1"/>
  <c r="C31" i="12" s="1"/>
  <c r="C36" i="12" s="1"/>
  <c r="C77" i="11"/>
  <c r="C79" i="11" s="1"/>
  <c r="C85" i="11" s="1"/>
  <c r="O37" i="11"/>
  <c r="F95" i="11"/>
  <c r="F18" i="12"/>
  <c r="P37" i="11"/>
  <c r="E28" i="10"/>
  <c r="B62" i="10"/>
  <c r="E62" i="10" s="1"/>
  <c r="G62" i="11" s="1"/>
  <c r="P62" i="11" s="1"/>
  <c r="B61" i="10"/>
  <c r="B30" i="10"/>
  <c r="M30" i="11"/>
  <c r="P50" i="11"/>
  <c r="P106" i="11" s="1"/>
  <c r="G106" i="11"/>
  <c r="G21" i="12"/>
  <c r="F28" i="11"/>
  <c r="E30" i="9"/>
  <c r="B95" i="8"/>
  <c r="B97" i="8" s="1"/>
  <c r="E88" i="8" s="1"/>
  <c r="E90" i="11" s="1"/>
  <c r="E42" i="12" s="1"/>
  <c r="B79" i="8"/>
  <c r="B84" i="8" s="1"/>
  <c r="E40" i="11"/>
  <c r="E77" i="8"/>
  <c r="E79" i="8" s="1"/>
  <c r="E84" i="8" s="1"/>
  <c r="B74" i="9"/>
  <c r="E74" i="9" s="1"/>
  <c r="F74" i="11" s="1"/>
  <c r="E74" i="7"/>
  <c r="B77" i="7"/>
  <c r="E61" i="9"/>
  <c r="M37" i="11"/>
  <c r="D95" i="11"/>
  <c r="D18" i="12"/>
  <c r="N37" i="11"/>
  <c r="B84" i="6"/>
  <c r="E79" i="6"/>
  <c r="E84" i="6" s="1"/>
  <c r="E87" i="6" s="1"/>
  <c r="E61" i="10" l="1"/>
  <c r="M95" i="11"/>
  <c r="G28" i="11"/>
  <c r="E30" i="10"/>
  <c r="D74" i="11"/>
  <c r="E77" i="7"/>
  <c r="E79" i="7" s="1"/>
  <c r="E84" i="7" s="1"/>
  <c r="O74" i="11"/>
  <c r="F29" i="12"/>
  <c r="L95" i="11"/>
  <c r="L98" i="11"/>
  <c r="L99" i="11" s="1"/>
  <c r="L77" i="11"/>
  <c r="F7" i="12"/>
  <c r="F15" i="12" s="1"/>
  <c r="O28" i="11"/>
  <c r="O30" i="11" s="1"/>
  <c r="F30" i="11"/>
  <c r="B95" i="7"/>
  <c r="B97" i="7" s="1"/>
  <c r="E88" i="7" s="1"/>
  <c r="D90" i="11" s="1"/>
  <c r="D42" i="12" s="1"/>
  <c r="B79" i="7"/>
  <c r="B84" i="7" s="1"/>
  <c r="B77" i="9"/>
  <c r="P95" i="11"/>
  <c r="B74" i="10"/>
  <c r="E74" i="10" s="1"/>
  <c r="G74" i="11" s="1"/>
  <c r="N95" i="11"/>
  <c r="C89" i="11"/>
  <c r="C41" i="12" s="1"/>
  <c r="E86" i="7"/>
  <c r="E89" i="6"/>
  <c r="F61" i="11"/>
  <c r="E77" i="9"/>
  <c r="E79" i="9" s="1"/>
  <c r="E84" i="9" s="1"/>
  <c r="N40" i="11"/>
  <c r="E98" i="11"/>
  <c r="E99" i="11" s="1"/>
  <c r="E18" i="12"/>
  <c r="E30" i="12" s="1"/>
  <c r="E31" i="12" s="1"/>
  <c r="E36" i="12" s="1"/>
  <c r="E77" i="11"/>
  <c r="E95" i="11"/>
  <c r="E96" i="11" s="1"/>
  <c r="O40" i="11"/>
  <c r="O95" i="11" s="1"/>
  <c r="C104" i="11"/>
  <c r="C107" i="11"/>
  <c r="L96" i="11" l="1"/>
  <c r="G7" i="12"/>
  <c r="G15" i="12" s="1"/>
  <c r="P28" i="11"/>
  <c r="P30" i="11" s="1"/>
  <c r="G30" i="11"/>
  <c r="O77" i="11"/>
  <c r="B95" i="9"/>
  <c r="B97" i="9" s="1"/>
  <c r="E88" i="9" s="1"/>
  <c r="F90" i="11" s="1"/>
  <c r="F42" i="12" s="1"/>
  <c r="B79" i="9"/>
  <c r="B84" i="9" s="1"/>
  <c r="C91" i="11"/>
  <c r="C43" i="12" s="1"/>
  <c r="E90" i="6"/>
  <c r="C92" i="11" s="1"/>
  <c r="C44" i="12" s="1"/>
  <c r="L104" i="11"/>
  <c r="L107" i="11"/>
  <c r="L79" i="11"/>
  <c r="L85" i="11" s="1"/>
  <c r="D87" i="11"/>
  <c r="D39" i="12" s="1"/>
  <c r="E87" i="7"/>
  <c r="B77" i="10"/>
  <c r="E79" i="10"/>
  <c r="E84" i="10" s="1"/>
  <c r="P74" i="11"/>
  <c r="G29" i="12"/>
  <c r="O98" i="11"/>
  <c r="O99" i="11" s="1"/>
  <c r="M74" i="11"/>
  <c r="D29" i="12"/>
  <c r="D30" i="12" s="1"/>
  <c r="D31" i="12" s="1"/>
  <c r="D36" i="12" s="1"/>
  <c r="N74" i="11"/>
  <c r="N98" i="11" s="1"/>
  <c r="D98" i="11"/>
  <c r="D99" i="11" s="1"/>
  <c r="D77" i="11"/>
  <c r="G61" i="11"/>
  <c r="E77" i="10"/>
  <c r="E104" i="11"/>
  <c r="E107" i="11"/>
  <c r="E79" i="11"/>
  <c r="E85" i="11" s="1"/>
  <c r="F19" i="12"/>
  <c r="F30" i="12" s="1"/>
  <c r="F31" i="12" s="1"/>
  <c r="F36" i="12" s="1"/>
  <c r="O61" i="11"/>
  <c r="F77" i="11"/>
  <c r="F98" i="11"/>
  <c r="F99" i="11" s="1"/>
  <c r="G19" i="12" l="1"/>
  <c r="G30" i="12" s="1"/>
  <c r="P61" i="11"/>
  <c r="G77" i="11"/>
  <c r="G98" i="11"/>
  <c r="G99" i="11" s="1"/>
  <c r="F104" i="11"/>
  <c r="F107" i="11"/>
  <c r="F96" i="11"/>
  <c r="D104" i="11"/>
  <c r="D107" i="11"/>
  <c r="D79" i="11"/>
  <c r="D85" i="11" s="1"/>
  <c r="D96" i="11"/>
  <c r="G79" i="11"/>
  <c r="G85" i="11" s="1"/>
  <c r="G31" i="12"/>
  <c r="G36" i="12" s="1"/>
  <c r="B95" i="10"/>
  <c r="B97" i="10" s="1"/>
  <c r="E88" i="10" s="1"/>
  <c r="G90" i="11" s="1"/>
  <c r="G42" i="12" s="1"/>
  <c r="B79" i="10"/>
  <c r="B84" i="10" s="1"/>
  <c r="O104" i="11"/>
  <c r="O107" i="11"/>
  <c r="M98" i="11"/>
  <c r="M99" i="11" s="1"/>
  <c r="M77" i="11"/>
  <c r="F79" i="11"/>
  <c r="F85" i="11" s="1"/>
  <c r="O79" i="11"/>
  <c r="O85" i="11" s="1"/>
  <c r="N77" i="11"/>
  <c r="D89" i="11"/>
  <c r="D41" i="12" s="1"/>
  <c r="E86" i="8"/>
  <c r="E89" i="7"/>
  <c r="O96" i="11"/>
  <c r="N104" i="11" l="1"/>
  <c r="N107" i="11"/>
  <c r="N79" i="11"/>
  <c r="N85" i="11" s="1"/>
  <c r="N96" i="11"/>
  <c r="N99" i="11"/>
  <c r="G104" i="11"/>
  <c r="G96" i="11"/>
  <c r="G107" i="11"/>
  <c r="D91" i="11"/>
  <c r="D43" i="12" s="1"/>
  <c r="E90" i="7"/>
  <c r="D92" i="11" s="1"/>
  <c r="D44" i="12" s="1"/>
  <c r="E87" i="11"/>
  <c r="E39" i="12" s="1"/>
  <c r="E87" i="8"/>
  <c r="P98" i="11"/>
  <c r="P99" i="11" s="1"/>
  <c r="P77" i="11"/>
  <c r="M104" i="11"/>
  <c r="M107" i="11"/>
  <c r="M79" i="11"/>
  <c r="M85" i="11" s="1"/>
  <c r="M96" i="11"/>
  <c r="P104" i="11" l="1"/>
  <c r="P107" i="11"/>
  <c r="P96" i="11"/>
  <c r="P79" i="11"/>
  <c r="P85" i="11" s="1"/>
  <c r="E89" i="11"/>
  <c r="E41" i="12" s="1"/>
  <c r="E86" i="9"/>
  <c r="E89" i="8"/>
  <c r="E91" i="11" l="1"/>
  <c r="E43" i="12" s="1"/>
  <c r="E90" i="8"/>
  <c r="E92" i="11" s="1"/>
  <c r="E44" i="12" s="1"/>
  <c r="F87" i="11"/>
  <c r="F39" i="12" s="1"/>
  <c r="E87" i="9"/>
  <c r="F89" i="11" l="1"/>
  <c r="F41" i="12" s="1"/>
  <c r="E86" i="10"/>
  <c r="E89" i="9"/>
  <c r="G87" i="11" l="1"/>
  <c r="G39" i="12" s="1"/>
  <c r="E87" i="10"/>
  <c r="F91" i="11"/>
  <c r="F43" i="12" s="1"/>
  <c r="E90" i="9"/>
  <c r="F92" i="11" s="1"/>
  <c r="F44" i="12" s="1"/>
  <c r="G89" i="11" l="1"/>
  <c r="G41" i="12" s="1"/>
  <c r="E89" i="10"/>
  <c r="G91" i="11" l="1"/>
  <c r="G43" i="12" s="1"/>
  <c r="E90" i="10"/>
  <c r="G92" i="11" s="1"/>
  <c r="G44" i="12" s="1"/>
</calcChain>
</file>

<file path=xl/sharedStrings.xml><?xml version="1.0" encoding="utf-8"?>
<sst xmlns="http://schemas.openxmlformats.org/spreadsheetml/2006/main" count="993" uniqueCount="300">
  <si>
    <t xml:space="preserve"> </t>
  </si>
  <si>
    <t>6 YEAR BUDGET PROPOSAL</t>
  </si>
  <si>
    <t>AUTHORIZER:  Charter School Institute</t>
  </si>
  <si>
    <t>Wildflower Montessori Public Schools of Colorado - Grand Valley</t>
  </si>
  <si>
    <t>as of March 2023</t>
  </si>
  <si>
    <t>ENROLLMENT PLAN</t>
  </si>
  <si>
    <t>Projected Number of Full-Time Students Per Year</t>
  </si>
  <si>
    <t>Projected Number of Part-Time Students Per Year</t>
  </si>
  <si>
    <t>YEAR 1</t>
  </si>
  <si>
    <t>YEAR 2</t>
  </si>
  <si>
    <t>YEAR 3</t>
  </si>
  <si>
    <t>YEAR 4</t>
  </si>
  <si>
    <t>YEAR 5</t>
  </si>
  <si>
    <t>ECE</t>
  </si>
  <si>
    <t>KG</t>
  </si>
  <si>
    <t>Total # students</t>
  </si>
  <si>
    <t>Total # funded*</t>
  </si>
  <si>
    <t>*does not include ECE</t>
  </si>
  <si>
    <t>Notes:  Enter position title, # of positions, average salary, increase/yr</t>
  </si>
  <si>
    <t>STAFFING PLAN</t>
  </si>
  <si>
    <t xml:space="preserve">Note: FTE Counts and Average annual salary included are shown to provide an example of how to input these items only. Please itemize FTE and salary for each staff category. Amounts calculated on this tab will populate as needed in separate tabs. </t>
  </si>
  <si>
    <t>AVG Annual Salary</t>
  </si>
  <si>
    <t>INSTRUCTIONAL STAFF</t>
  </si>
  <si>
    <t>Teacher Leaders</t>
  </si>
  <si>
    <t>Teacher Leader Assistants</t>
  </si>
  <si>
    <t xml:space="preserve">     Total Instructional Staff</t>
  </si>
  <si>
    <t>Admin/Support/SPED</t>
  </si>
  <si>
    <t>Shared Services Partner</t>
  </si>
  <si>
    <t>SPED Teacher: 1:150 (elementary); 1:200 (Middle and High)</t>
  </si>
  <si>
    <t>Student Services Coordinator</t>
  </si>
  <si>
    <t>Speech Path: 1:400</t>
  </si>
  <si>
    <t>Finance Partner</t>
  </si>
  <si>
    <t>Psych/Counselor: 1:250</t>
  </si>
  <si>
    <t>Learning Specialists (Elem)</t>
  </si>
  <si>
    <t>Nurse: 1:750</t>
  </si>
  <si>
    <t>Learning Specialists (ECE)</t>
  </si>
  <si>
    <t>Occupational Therapist and Physical Therapist: 1:400</t>
  </si>
  <si>
    <t>Social Worker</t>
  </si>
  <si>
    <t>Early Childhood SPED: 1:150 PK-2 students</t>
  </si>
  <si>
    <t>STIPENDS/ADDITIONAL PAY</t>
  </si>
  <si>
    <t xml:space="preserve">     Total Admin &amp; Support</t>
  </si>
  <si>
    <t>TOTAL SALARIES</t>
  </si>
  <si>
    <t>Note: may be overstated for multi-yr due to turnover/changes</t>
  </si>
  <si>
    <t>increase/yr</t>
  </si>
  <si>
    <t>Total # Teachers</t>
  </si>
  <si>
    <t>Total # Admin &amp; Support</t>
  </si>
  <si>
    <t>Total Staff</t>
  </si>
  <si>
    <t>Student/teacher ratio</t>
  </si>
  <si>
    <t>Student/staff ratio</t>
  </si>
  <si>
    <t>Total Instructional</t>
  </si>
  <si>
    <t>Total Admin</t>
  </si>
  <si>
    <t>Variance</t>
  </si>
  <si>
    <t>ASSUMPTIONS</t>
  </si>
  <si>
    <t>REVENUE</t>
  </si>
  <si>
    <t>Recommendations</t>
  </si>
  <si>
    <t>Units (what to enter)</t>
  </si>
  <si>
    <t>Notes</t>
  </si>
  <si>
    <t>5710 · Per pupil funding (100%)</t>
  </si>
  <si>
    <t>Per funded pupil count</t>
  </si>
  <si>
    <t>Enter Geographic District PPR in each cell, plus change assumptions. 
See past year PPR funding information for geographical district here: http://www.cde.state.co.us/cdefinance/sfdetails</t>
  </si>
  <si>
    <t>5810 · CPP Funding</t>
  </si>
  <si>
    <t>Per CPP Slot</t>
  </si>
  <si>
    <t>Auto Calc</t>
  </si>
  <si>
    <t>NOT ELIGIBLE IN YEAR 1
Colorado Preschool Project Slots the school is planning on requesting</t>
  </si>
  <si>
    <t>CPP Slots Requested</t>
  </si>
  <si>
    <t>45% of 3 and 4 yr olds</t>
  </si>
  <si>
    <t>Number of CPP slots requested</t>
  </si>
  <si>
    <t>3113 · Capital construction - Per Pupil</t>
  </si>
  <si>
    <t xml:space="preserve">Enter Per Pupil amount for Cap Construction each year. 
Expected to decrease annually by 1%
(FPC) </t>
  </si>
  <si>
    <t>3130 · ECEA</t>
  </si>
  <si>
    <t>per elible sped student</t>
  </si>
  <si>
    <t xml:space="preserve">Total Estimated Annual Funding, based on PY pupil count 
</t>
  </si>
  <si>
    <t>ECEA/IDEA Eligible Student Count</t>
  </si>
  <si>
    <t>Number of estimated eligible SPED Students</t>
  </si>
  <si>
    <t>3140 · English Language Proficiency Act (ELPA)</t>
  </si>
  <si>
    <t>Per ELL Pupil</t>
  </si>
  <si>
    <t>NOT ELIGIBLE IN YEAR 1
$365.88 NEP/LEP; $365.87 per FEP
Total Estimated Annual Funding, based on PY pupil count; Expected 2% decrease annually</t>
  </si>
  <si>
    <t>Projected ELL %</t>
  </si>
  <si>
    <t>Projected ELL students as % of total Students</t>
  </si>
  <si>
    <t>Projected ELL Students</t>
  </si>
  <si>
    <t>3150 · Gifted &amp; Talented</t>
  </si>
  <si>
    <t>Projected GT Students</t>
  </si>
  <si>
    <t>3206 - READ Act</t>
  </si>
  <si>
    <t>Per SRD pupil</t>
  </si>
  <si>
    <t>NOT ELIGIBLE IN YEAR 1
$497.06 per eligible SRD Pupil</t>
  </si>
  <si>
    <t>Projected SRD Pupils</t>
  </si>
  <si>
    <t>K-3 only</t>
  </si>
  <si>
    <t>Number of Estimated SRD Pupils</t>
  </si>
  <si>
    <t>3241-Mill Levy Equalization Funds</t>
  </si>
  <si>
    <t>As of FY 2018-19, allocation is estimated at $311.47 per funded pupil count. Subject to change each year.</t>
  </si>
  <si>
    <t>4010 · Title I</t>
  </si>
  <si>
    <t>Per FRL pupil</t>
  </si>
  <si>
    <t>for schools with FRL 35% or above</t>
  </si>
  <si>
    <t>4027 · IDEA</t>
  </si>
  <si>
    <t>Per eligible SPED student</t>
  </si>
  <si>
    <t>4365 · Title III</t>
  </si>
  <si>
    <t>NOT ELIGIBLE IN YEAR 1
$139.93 NEP/LEP; $135.38 per FEP
Total Estimated Annual Funding, based on PY pupil count 
Expected 2% decrease annually</t>
  </si>
  <si>
    <t>4367 - Title II</t>
  </si>
  <si>
    <t>Per FRL Pupil</t>
  </si>
  <si>
    <t>The higher of $1,500 or $8.98 per pupil</t>
  </si>
  <si>
    <t>Projected FRL %</t>
  </si>
  <si>
    <t>N/A</t>
  </si>
  <si>
    <t>Projected Free and Reduced Lunch Rate</t>
  </si>
  <si>
    <t>Projected K-12 FRL Students</t>
  </si>
  <si>
    <t>Preschool tuition (annual)</t>
  </si>
  <si>
    <t>Estimated Annual tuition (full UPK rate)</t>
  </si>
  <si>
    <t>EXPENSE</t>
  </si>
  <si>
    <t>CSI Admin Expense</t>
  </si>
  <si>
    <t>CDE Admin expense</t>
  </si>
  <si>
    <t>PERA-based on calendar yr</t>
  </si>
  <si>
    <t>Per PERA: ER contribution rates will increase by .25% each year</t>
  </si>
  <si>
    <t>Social Security</t>
  </si>
  <si>
    <t>Medicare</t>
  </si>
  <si>
    <t>State Unemployment</t>
  </si>
  <si>
    <t>Assumes filing w/DOL as political subdivision (100% of wages)</t>
  </si>
  <si>
    <t>Insurance</t>
  </si>
  <si>
    <t>Total Insurance Premiums</t>
  </si>
  <si>
    <t xml:space="preserve">Minimum insurance requirements are as follows: Comprehensive general liability - $2,000,000; Officers, directors and employees errors and omissions - $1,000,000; Property - as required by landlord; </t>
  </si>
  <si>
    <t>Motor vehicle liability (if applicable) - $1,000,000; Worker's compensation - as required by law.</t>
  </si>
  <si>
    <t>INDIVIDUAL EXPENSE DRIVERS</t>
  </si>
  <si>
    <t>$/unit</t>
  </si>
  <si>
    <t>unit</t>
  </si>
  <si>
    <t>Temp employees (substitutes)</t>
  </si>
  <si>
    <t>per absence</t>
  </si>
  <si>
    <t xml:space="preserve">    # days personal days per employee</t>
  </si>
  <si>
    <t>annual</t>
  </si>
  <si>
    <t>Health plan cost</t>
  </si>
  <si>
    <t>annual/per EE</t>
  </si>
  <si>
    <t>Assume 5k with 80% participation</t>
  </si>
  <si>
    <t>Dental plan cost</t>
  </si>
  <si>
    <t>Other Employee benefits</t>
  </si>
  <si>
    <t>PD = 1000/TL + 500/TA/SSC/LS</t>
  </si>
  <si>
    <t>Travel/Reg/Entrance (Prof Dev for staff)</t>
  </si>
  <si>
    <t>Banking &amp; Payroll fees</t>
  </si>
  <si>
    <t>employee</t>
  </si>
  <si>
    <t>Assessments</t>
  </si>
  <si>
    <t>student</t>
  </si>
  <si>
    <t>Rental of building or land</t>
  </si>
  <si>
    <t>Equipment rentals - postal machine</t>
  </si>
  <si>
    <t>Equipment rentals - copier</t>
  </si>
  <si>
    <t>Postage</t>
  </si>
  <si>
    <t>Advertising/Marketing/Recruiting</t>
  </si>
  <si>
    <t>General + Janitorial supplies</t>
  </si>
  <si>
    <t>Office supplies</t>
  </si>
  <si>
    <t>Food &amp; Meeting supplies</t>
  </si>
  <si>
    <t>Dues and fees</t>
  </si>
  <si>
    <t>Transportation/Field Trips</t>
  </si>
  <si>
    <t>Professional Ed Services</t>
  </si>
  <si>
    <t>TOTAL</t>
  </si>
  <si>
    <t>Summer Enrollment Assumptions (edit cell below)</t>
  </si>
  <si>
    <t>$200/week ($1600/student)</t>
  </si>
  <si>
    <t>After Care Assumptions (edit cell below)</t>
  </si>
  <si>
    <t>$2500/student</t>
  </si>
  <si>
    <t>General Operating</t>
  </si>
  <si>
    <t>Grant Fund</t>
  </si>
  <si>
    <t>Physical Pupil Count</t>
  </si>
  <si>
    <t>Funded Pupil Count</t>
  </si>
  <si>
    <t>1000 · Foundation revenue</t>
  </si>
  <si>
    <t>1300A · Preschool tuition revenue</t>
  </si>
  <si>
    <t>1510 · Interest on investments</t>
  </si>
  <si>
    <t>1600 · Food service revenue</t>
  </si>
  <si>
    <t>1700 · Pupil activities (Summer Program)</t>
  </si>
  <si>
    <t>1740 · Fees (After Care)</t>
  </si>
  <si>
    <t>1920 · Contributions and donations</t>
  </si>
  <si>
    <t>3113 · Capital construction</t>
  </si>
  <si>
    <t>.</t>
  </si>
  <si>
    <t>3130 · Exceptional Children's Ed Act (ECEA)</t>
  </si>
  <si>
    <t>3140 · English language proficiency act (ELPA)</t>
  </si>
  <si>
    <t>3161 · State child nutrition reimb</t>
  </si>
  <si>
    <t>4027 · Special Ed (IDEA)</t>
  </si>
  <si>
    <t>4367 · Title II</t>
  </si>
  <si>
    <t>4555 · Fed lunch reimb</t>
  </si>
  <si>
    <t>5282 · Charter school grant</t>
  </si>
  <si>
    <t>5810 · CPP funding</t>
  </si>
  <si>
    <t>TOTAL REVENUE</t>
  </si>
  <si>
    <t>0100 · Salaries of Regular Employees</t>
  </si>
  <si>
    <t>0120 · Salaries of temporary employees</t>
  </si>
  <si>
    <t>0221 · Medicare</t>
  </si>
  <si>
    <t>0222 · Social security</t>
  </si>
  <si>
    <t>0230 · PERA expense</t>
  </si>
  <si>
    <t>0250 · Health insurance</t>
  </si>
  <si>
    <t>0251 · Dental insurance</t>
  </si>
  <si>
    <t>0290 · Other Employee Benefits</t>
  </si>
  <si>
    <t>0300 · Prof services-food svcs</t>
  </si>
  <si>
    <t>0313 · Banking &amp; Payroll Service Fees</t>
  </si>
  <si>
    <t>0320 · Professional-education services</t>
  </si>
  <si>
    <t>0300A · Other Services - Assessments</t>
  </si>
  <si>
    <t>0331 · Legal services</t>
  </si>
  <si>
    <t>0332 · Audit &amp; accounting services</t>
  </si>
  <si>
    <t>0334 · Consultant services</t>
  </si>
  <si>
    <t>0340 · Technical services</t>
  </si>
  <si>
    <t>0410 · Utility expenses</t>
  </si>
  <si>
    <t>0423 · Custodial services</t>
  </si>
  <si>
    <t>0430 · Repairs and maintenance service</t>
  </si>
  <si>
    <t>0441 · Rental of land and buildings</t>
  </si>
  <si>
    <t>0442 · Rental of Equipment</t>
  </si>
  <si>
    <t>0520 · Insurance</t>
  </si>
  <si>
    <t>0525 · Unemployment insurance</t>
  </si>
  <si>
    <t>0526 · Workers' Comp insurance</t>
  </si>
  <si>
    <t>0531 · Telephone/fax</t>
  </si>
  <si>
    <t>0533 · Summer Program</t>
  </si>
  <si>
    <t>0540 · Advertising, Marketing &amp; Recruiting</t>
  </si>
  <si>
    <t>0580 · Travel, registration, entrance</t>
  </si>
  <si>
    <t>0595A · CSI Admin expense</t>
  </si>
  <si>
    <t>0595B · CDE Admin expense</t>
  </si>
  <si>
    <t>0610 · General supplies</t>
  </si>
  <si>
    <t>0611 · Office supplies</t>
  </si>
  <si>
    <t>0630 · Food &amp; meeting expenses</t>
  </si>
  <si>
    <t>0640 · Books and periodicals</t>
  </si>
  <si>
    <t>0650 · Electronic media materials</t>
  </si>
  <si>
    <t>0721 · Leasehold improvements</t>
  </si>
  <si>
    <t>0733 · Furniture and fixtures</t>
  </si>
  <si>
    <t>0735 · Non-capital equipment</t>
  </si>
  <si>
    <t>0810 · Dues and fees</t>
  </si>
  <si>
    <t>0840 · Contingency</t>
  </si>
  <si>
    <t>0851 · Transportation/field trips</t>
  </si>
  <si>
    <t>0890 · Miscellaneous expenditures (renovations)</t>
  </si>
  <si>
    <t>TOTAL EXPENSE</t>
  </si>
  <si>
    <t>NET OPERATING INCOME</t>
  </si>
  <si>
    <t>OTHER SOURCES/(USES) OF FUNDS</t>
  </si>
  <si>
    <t>SURPLUS/(SHORTFALL)</t>
  </si>
  <si>
    <t>Beginning Fund Balance</t>
  </si>
  <si>
    <t>Ending Fund Balance</t>
  </si>
  <si>
    <t>Restricted or assigned</t>
  </si>
  <si>
    <t>Unrestricted/Unassigned</t>
  </si>
  <si>
    <t>Unrestricted/Unassigned Fund Balance as % of Total Expenses</t>
  </si>
  <si>
    <t>SPED Reserve</t>
  </si>
  <si>
    <t>TABOR Reserve</t>
  </si>
  <si>
    <t>Other restricted or assigned reserves</t>
  </si>
  <si>
    <t>Total restricted or assigned reserves</t>
  </si>
  <si>
    <t xml:space="preserve">Note: Amount shown for 3150 and 4367 are minimum allocations and will adjust to current estimates after completing the assumptions tab. </t>
  </si>
  <si>
    <t>Grant Fund CDE CSP</t>
  </si>
  <si>
    <t>5810 · CPP funding (UPK)</t>
  </si>
  <si>
    <t>`</t>
  </si>
  <si>
    <t>0890 · Miscellaneous expenditures</t>
  </si>
  <si>
    <t>Interest Expense</t>
  </si>
  <si>
    <t>Redemption of Principle</t>
  </si>
  <si>
    <t>0640 · Books/periodicals</t>
  </si>
  <si>
    <t>0120 · Salaries of temporary employees-subs</t>
  </si>
  <si>
    <t>6 YEAR BUDGET-Detail</t>
  </si>
  <si>
    <t>6 YEAR BUDGET- Year over Year Difference</t>
  </si>
  <si>
    <t>YEAR 0</t>
  </si>
  <si>
    <t>1700 · Pupil activities</t>
  </si>
  <si>
    <t>1740 · Fees</t>
  </si>
  <si>
    <t>0410 · Utility services</t>
  </si>
  <si>
    <t>0533 · Postage</t>
  </si>
  <si>
    <t>0595A · D51 Admin expense</t>
  </si>
  <si>
    <t>0640 · Books &amp; Periodicals/Materials &amp; Supplies</t>
  </si>
  <si>
    <t>Total Instructional Expenses</t>
  </si>
  <si>
    <t xml:space="preserve">   % of Total Expenses</t>
  </si>
  <si>
    <t>Total Non-Instructional Expenses</t>
  </si>
  <si>
    <t>Salary %</t>
  </si>
  <si>
    <t>Total variances</t>
  </si>
  <si>
    <t>Facility Costs</t>
  </si>
  <si>
    <t>% of Total Expenses</t>
  </si>
  <si>
    <t>6 YEAR BUDGET-Summary</t>
  </si>
  <si>
    <t>Per Pupil Revenue</t>
  </si>
  <si>
    <t>CPP Revenue</t>
  </si>
  <si>
    <t>Tuition Revenue</t>
  </si>
  <si>
    <t>State Funding  Sources</t>
  </si>
  <si>
    <t>Federal Funding  Sources</t>
  </si>
  <si>
    <t>Grants/Contributions/Fundraising</t>
  </si>
  <si>
    <t>Interest Income</t>
  </si>
  <si>
    <t>Activities &amp; Student Fees</t>
  </si>
  <si>
    <t>Salaries and Benefits</t>
  </si>
  <si>
    <t>Authorizer Services</t>
  </si>
  <si>
    <t>Purchased Services (w/o Bldg Costs)</t>
  </si>
  <si>
    <t>Utilities &amp; Building Expenses</t>
  </si>
  <si>
    <t>Rental - Land/Building</t>
  </si>
  <si>
    <t>Student Activities</t>
  </si>
  <si>
    <t>Supplies and Materials</t>
  </si>
  <si>
    <t>Books, Periodicals, &amp; Software</t>
  </si>
  <si>
    <t>Non-capital equipment</t>
  </si>
  <si>
    <t>Furniture and fixtures</t>
  </si>
  <si>
    <t>Contingency</t>
  </si>
  <si>
    <t>Other Expenditures</t>
  </si>
  <si>
    <t>OTHER SOURCES/USES OF FUNDS</t>
  </si>
  <si>
    <t>CDE START-UP GRANT</t>
  </si>
  <si>
    <t>Year 0</t>
  </si>
  <si>
    <t>Year 1</t>
  </si>
  <si>
    <t>Year 2</t>
  </si>
  <si>
    <t>Sample Expenditures</t>
  </si>
  <si>
    <t>Salary - Ex. Director (3 months)</t>
  </si>
  <si>
    <t>Benefits - Ex. Director (3 months)</t>
  </si>
  <si>
    <t>Salary - Office Manager (3 months)</t>
  </si>
  <si>
    <t>Benefits - Office Manager (3 months)</t>
  </si>
  <si>
    <t>Financial Consultant (establishing financial systems)</t>
  </si>
  <si>
    <t>Legal Services</t>
  </si>
  <si>
    <t>IT services (establishing infrastructure)</t>
  </si>
  <si>
    <t>Marketing/Advertising - student &amp; staff recruitment (ads+events)</t>
  </si>
  <si>
    <t>Professional Development</t>
  </si>
  <si>
    <t>Curriculum</t>
  </si>
  <si>
    <t>Staff furniture</t>
  </si>
  <si>
    <t>Student furniture</t>
  </si>
  <si>
    <t>Bookshelves + Tables</t>
  </si>
  <si>
    <t>Staff laptops</t>
  </si>
  <si>
    <t>Student laptops</t>
  </si>
  <si>
    <t>Server + network peripherals</t>
  </si>
  <si>
    <t>CSSP visit / review</t>
  </si>
  <si>
    <t>Balance of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</si>
</sst>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_(&quot;$&quot;* \(#,##0.00\);_(&quot;$&quot;* &quot;-&quot;??_);_(@_)"/>
    <numFmt numFmtId="164" formatCode="mmmm\ d&quot;, &quot;yyyy"/>
    <numFmt numFmtId="165" formatCode="\$#,##0_);&quot;($&quot;#,##0\)"/>
    <numFmt numFmtId="166" formatCode="0.0"/>
    <numFmt numFmtId="167" formatCode="_(\$* #,##0_);_(\$* \(#,##0\);_(\$* \-_);_(@_)"/>
    <numFmt numFmtId="168" formatCode="_(\$* #,##0.00_);_(\$* \(#,##0.00\);_(\$* \-??_);_(@_)"/>
    <numFmt numFmtId="169" formatCode="_(\$* #,##0_);_(\$* \(#,##0\);_(\$* \-??_);_(@_)"/>
    <numFmt numFmtId="170" formatCode="\$#,##0.00"/>
    <numFmt numFmtId="171" formatCode="\$#,##0_);[Red]&quot;($&quot;#,##0\)"/>
    <numFmt numFmtId="172" formatCode="_(* #,##0_);_(* \(#,##0\);_(* \-_);_(@_)"/>
    <numFmt numFmtId="173" formatCode="_(* #,##0.00_);_(* \(#,##0.00\);_(* \-??_);_(@_)"/>
    <numFmt numFmtId="174" formatCode="\$#,##0.00_);[Red]&quot;($&quot;#,##0.00\)"/>
    <numFmt numFmtId="175" formatCode="_(* #,##0_);_(* \(#,##0\);_(* \-??_);_(@_)"/>
    <numFmt numFmtId="176" formatCode="#,##0.0_);\(#,##0.0\)"/>
    <numFmt numFmtId="177" formatCode="&quot;$&quot;#,##0"/>
  </numFmts>
  <fonts count="50">
    <font>
      <sz val="10"/>
      <color rgb="FF000000"/>
      <name val="Arial"/>
      <scheme val="minor"/>
    </font>
    <font>
      <sz val="10"/>
      <color theme="1"/>
      <name val="Calibri"/>
    </font>
    <font>
      <sz val="12"/>
      <color theme="1"/>
      <name val="Calibri"/>
    </font>
    <font>
      <sz val="12"/>
      <color rgb="FF0070C0"/>
      <name val="Calibri"/>
    </font>
    <font>
      <sz val="36"/>
      <color rgb="FF0070C0"/>
      <name val="Calibri"/>
    </font>
    <font>
      <sz val="10"/>
      <name val="Arial"/>
    </font>
    <font>
      <sz val="22"/>
      <color theme="1"/>
      <name val="Calibri"/>
    </font>
    <font>
      <sz val="18"/>
      <color theme="1"/>
      <name val="Calibri"/>
    </font>
    <font>
      <u/>
      <sz val="18"/>
      <color theme="1"/>
      <name val="Calibri"/>
    </font>
    <font>
      <i/>
      <sz val="14"/>
      <color rgb="FF0070C0"/>
      <name val="Calibri"/>
    </font>
    <font>
      <u/>
      <sz val="18"/>
      <color rgb="FF000000"/>
      <name val="Calibri"/>
    </font>
    <font>
      <sz val="14"/>
      <color theme="1"/>
      <name val="Calibri"/>
    </font>
    <font>
      <b/>
      <sz val="14"/>
      <color theme="1"/>
      <name val="Calibri"/>
    </font>
    <font>
      <b/>
      <sz val="10"/>
      <color theme="1"/>
      <name val="Calibri"/>
    </font>
    <font>
      <b/>
      <sz val="12"/>
      <color theme="1"/>
      <name val="Calibri"/>
    </font>
    <font>
      <sz val="10"/>
      <color rgb="FF000000"/>
      <name val="Arial"/>
    </font>
    <font>
      <sz val="10"/>
      <color rgb="FF0070C0"/>
      <name val="Calibri"/>
    </font>
    <font>
      <b/>
      <i/>
      <sz val="8"/>
      <color theme="1"/>
      <name val="Calibri"/>
    </font>
    <font>
      <sz val="10"/>
      <color theme="1"/>
      <name val="Arial"/>
    </font>
    <font>
      <sz val="9"/>
      <color rgb="FFFF0000"/>
      <name val="Arial"/>
    </font>
    <font>
      <sz val="9"/>
      <color theme="1"/>
      <name val="Calibri"/>
    </font>
    <font>
      <b/>
      <sz val="10"/>
      <color rgb="FFFFFFFF"/>
      <name val="Calibri"/>
    </font>
    <font>
      <b/>
      <sz val="10"/>
      <color rgb="FFFF0000"/>
      <name val="Calibri"/>
    </font>
    <font>
      <b/>
      <i/>
      <sz val="10"/>
      <color theme="1"/>
      <name val="Calibri"/>
    </font>
    <font>
      <i/>
      <sz val="10"/>
      <color rgb="FFFF0000"/>
      <name val="Calibri"/>
    </font>
    <font>
      <sz val="10"/>
      <color rgb="FFFFFFFF"/>
      <name val="Calibri"/>
    </font>
    <font>
      <sz val="10"/>
      <color rgb="FF0066CC"/>
      <name val="Calibri"/>
    </font>
    <font>
      <i/>
      <sz val="10"/>
      <color theme="1"/>
      <name val="Calibri"/>
    </font>
    <font>
      <sz val="10"/>
      <color rgb="FFF79646"/>
      <name val="Calibri"/>
    </font>
    <font>
      <sz val="10"/>
      <color rgb="FF000000"/>
      <name val="Calibri"/>
    </font>
    <font>
      <sz val="10"/>
      <color rgb="FF558ED5"/>
      <name val="Calibri"/>
    </font>
    <font>
      <b/>
      <sz val="10"/>
      <color rgb="FF000000"/>
      <name val="Calibri"/>
    </font>
    <font>
      <sz val="10"/>
      <color rgb="FF008000"/>
      <name val="Calibri"/>
    </font>
    <font>
      <sz val="10"/>
      <color theme="1"/>
      <name val="Arial"/>
      <scheme val="minor"/>
    </font>
    <font>
      <sz val="10"/>
      <color rgb="FF4A86E8"/>
      <name val="Calibri"/>
    </font>
    <font>
      <sz val="10"/>
      <color rgb="FFFF0000"/>
      <name val="Calibri"/>
    </font>
    <font>
      <sz val="10"/>
      <color rgb="FFE46C0A"/>
      <name val="Calibri"/>
    </font>
    <font>
      <sz val="10"/>
      <color rgb="FF4F81BD"/>
      <name val="Calibri"/>
    </font>
    <font>
      <sz val="10"/>
      <color theme="4"/>
      <name val="Calibri"/>
    </font>
    <font>
      <b/>
      <sz val="11"/>
      <color rgb="FF000000"/>
      <name val="Calibri"/>
    </font>
    <font>
      <sz val="11"/>
      <color theme="1"/>
      <name val="Calibri"/>
    </font>
    <font>
      <b/>
      <sz val="11"/>
      <color theme="1"/>
      <name val="Calibri"/>
    </font>
    <font>
      <sz val="10"/>
      <color rgb="FFC00000"/>
      <name val="Calibri"/>
    </font>
    <font>
      <b/>
      <sz val="8"/>
      <color theme="1"/>
      <name val="Calibri"/>
    </font>
    <font>
      <sz val="8"/>
      <color theme="1"/>
      <name val="Calibri"/>
    </font>
    <font>
      <b/>
      <i/>
      <sz val="9"/>
      <color theme="1"/>
      <name val="Calibri"/>
    </font>
    <font>
      <sz val="8"/>
      <color rgb="FF000000"/>
      <name val="Calibri"/>
    </font>
    <font>
      <b/>
      <sz val="8"/>
      <color rgb="FF000000"/>
      <name val="Calibri"/>
    </font>
    <font>
      <i/>
      <sz val="8"/>
      <color theme="1"/>
      <name val="Calibri"/>
    </font>
    <font>
      <sz val="10"/>
      <color rgb="FF00B050"/>
      <name val="Calibri"/>
    </font>
  </fonts>
  <fills count="15">
    <fill>
      <patternFill patternType="none"/>
    </fill>
    <fill>
      <patternFill patternType="gray125"/>
    </fill>
    <fill>
      <patternFill patternType="solid">
        <fgColor rgb="FFD7E4BD"/>
        <bgColor rgb="FFD7E4BD"/>
      </patternFill>
    </fill>
    <fill>
      <patternFill patternType="solid">
        <fgColor rgb="FFFFFFFF"/>
        <bgColor rgb="FFFFFFFF"/>
      </patternFill>
    </fill>
    <fill>
      <patternFill patternType="solid">
        <fgColor rgb="FFFFFF00"/>
        <bgColor rgb="FFFFFF00"/>
      </patternFill>
    </fill>
    <fill>
      <patternFill patternType="solid">
        <fgColor rgb="FFC0C0C0"/>
        <bgColor rgb="FFC0C0C0"/>
      </patternFill>
    </fill>
    <fill>
      <patternFill patternType="solid">
        <fgColor rgb="FF333333"/>
        <bgColor rgb="FF333333"/>
      </patternFill>
    </fill>
    <fill>
      <patternFill patternType="solid">
        <fgColor rgb="FF969696"/>
        <bgColor rgb="FF969696"/>
      </patternFill>
    </fill>
    <fill>
      <patternFill patternType="solid">
        <fgColor rgb="FFBFBFBF"/>
        <bgColor rgb="FFBFBFBF"/>
      </patternFill>
    </fill>
    <fill>
      <patternFill patternType="solid">
        <fgColor rgb="FF8CFB75"/>
        <bgColor rgb="FF8CFB75"/>
      </patternFill>
    </fill>
    <fill>
      <patternFill patternType="solid">
        <fgColor rgb="FF59FFD5"/>
        <bgColor rgb="FF59FFD5"/>
      </patternFill>
    </fill>
    <fill>
      <patternFill patternType="solid">
        <fgColor rgb="FFCCC0D9"/>
        <bgColor rgb="FFCCC0D9"/>
      </patternFill>
    </fill>
    <fill>
      <patternFill patternType="solid">
        <fgColor rgb="FFB7B7B7"/>
        <bgColor rgb="FFB7B7B7"/>
      </patternFill>
    </fill>
    <fill>
      <patternFill patternType="solid">
        <fgColor rgb="FFFCE5CD"/>
        <bgColor rgb="FFFCE5CD"/>
      </patternFill>
    </fill>
    <fill>
      <patternFill patternType="solid">
        <fgColor rgb="FFF4FFBA"/>
        <bgColor rgb="FFF4FFBA"/>
      </patternFill>
    </fill>
  </fills>
  <borders count="38">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medium">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thin">
        <color rgb="FF000000"/>
      </top>
      <bottom/>
      <diagonal/>
    </border>
    <border>
      <left style="thin">
        <color rgb="FF000000"/>
      </left>
      <right/>
      <top/>
      <bottom/>
      <diagonal/>
    </border>
    <border>
      <left style="thin">
        <color rgb="FF000000"/>
      </left>
      <right style="thin">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style="double">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thin">
        <color rgb="FF000000"/>
      </right>
      <top/>
      <bottom/>
      <diagonal/>
    </border>
    <border>
      <left/>
      <right style="thin">
        <color rgb="FF000000"/>
      </right>
      <top style="medium">
        <color rgb="FF000000"/>
      </top>
      <bottom style="medium">
        <color rgb="FF000000"/>
      </bottom>
      <diagonal/>
    </border>
  </borders>
  <cellStyleXfs count="1">
    <xf numFmtId="0" fontId="0" fillId="0" borderId="0"/>
  </cellStyleXfs>
  <cellXfs count="391">
    <xf numFmtId="0" fontId="0" fillId="0" borderId="0" xfId="0"/>
    <xf numFmtId="0" fontId="12" fillId="0" borderId="0" xfId="0" applyFont="1" applyAlignment="1">
      <alignment horizontal="left"/>
    </xf>
    <xf numFmtId="0" fontId="2" fillId="0" borderId="0" xfId="0" applyFont="1" applyAlignment="1">
      <alignment horizontal="left"/>
    </xf>
    <xf numFmtId="0" fontId="13" fillId="0" borderId="0" xfId="0" applyFont="1" applyAlignment="1">
      <alignment horizontal="center"/>
    </xf>
    <xf numFmtId="0" fontId="1" fillId="0" borderId="0" xfId="0" applyFont="1"/>
    <xf numFmtId="0" fontId="13" fillId="3" borderId="2" xfId="0" applyFont="1" applyFill="1" applyBorder="1" applyAlignment="1">
      <alignment horizontal="center" wrapText="1"/>
    </xf>
    <xf numFmtId="0" fontId="13" fillId="3" borderId="4" xfId="0" applyFont="1" applyFill="1" applyBorder="1" applyAlignment="1">
      <alignment horizontal="center"/>
    </xf>
    <xf numFmtId="0" fontId="15" fillId="0" borderId="0" xfId="0" applyFont="1"/>
    <xf numFmtId="3" fontId="16" fillId="4" borderId="4" xfId="0" applyNumberFormat="1" applyFont="1" applyFill="1" applyBorder="1" applyAlignment="1">
      <alignment horizontal="left"/>
    </xf>
    <xf numFmtId="3" fontId="16" fillId="4" borderId="5" xfId="0" applyNumberFormat="1" applyFont="1" applyFill="1" applyBorder="1" applyAlignment="1">
      <alignment horizontal="left"/>
    </xf>
    <xf numFmtId="0" fontId="15" fillId="0" borderId="6" xfId="0" applyFont="1" applyBorder="1"/>
    <xf numFmtId="1" fontId="1" fillId="3" borderId="4" xfId="0" applyNumberFormat="1" applyFont="1" applyFill="1" applyBorder="1"/>
    <xf numFmtId="3" fontId="1" fillId="3" borderId="4" xfId="0" applyNumberFormat="1" applyFont="1" applyFill="1" applyBorder="1"/>
    <xf numFmtId="0" fontId="17" fillId="3" borderId="7" xfId="0" applyFont="1" applyFill="1" applyBorder="1" applyAlignment="1">
      <alignment horizontal="center"/>
    </xf>
    <xf numFmtId="0" fontId="15" fillId="0" borderId="8" xfId="0" applyFont="1" applyBorder="1"/>
    <xf numFmtId="0" fontId="1" fillId="0" borderId="8" xfId="0" applyFont="1" applyBorder="1"/>
    <xf numFmtId="10" fontId="18" fillId="0" borderId="0" xfId="0" applyNumberFormat="1" applyFont="1"/>
    <xf numFmtId="0" fontId="18" fillId="0" borderId="0" xfId="0" applyFont="1"/>
    <xf numFmtId="0" fontId="12" fillId="0" borderId="0" xfId="0" applyFont="1"/>
    <xf numFmtId="0" fontId="16" fillId="0" borderId="0" xfId="0" applyFont="1"/>
    <xf numFmtId="165" fontId="13" fillId="0" borderId="4" xfId="0" applyNumberFormat="1" applyFont="1" applyBorder="1" applyAlignment="1">
      <alignment horizontal="center" vertical="center" wrapText="1"/>
    </xf>
    <xf numFmtId="0" fontId="1" fillId="3" borderId="2" xfId="0" applyFont="1" applyFill="1" applyBorder="1" applyAlignment="1">
      <alignment vertical="center" wrapText="1"/>
    </xf>
    <xf numFmtId="0" fontId="1" fillId="3" borderId="9" xfId="0" applyFont="1" applyFill="1" applyBorder="1" applyAlignment="1">
      <alignment vertical="center" wrapText="1"/>
    </xf>
    <xf numFmtId="0" fontId="1" fillId="0" borderId="0" xfId="0" applyFont="1" applyAlignment="1">
      <alignment vertical="center" wrapText="1"/>
    </xf>
    <xf numFmtId="0" fontId="21" fillId="6" borderId="4" xfId="0" applyFont="1" applyFill="1" applyBorder="1"/>
    <xf numFmtId="37" fontId="21" fillId="6" borderId="4" xfId="0" applyNumberFormat="1" applyFont="1" applyFill="1" applyBorder="1" applyAlignment="1">
      <alignment horizontal="center"/>
    </xf>
    <xf numFmtId="3" fontId="21" fillId="6" borderId="4" xfId="0" applyNumberFormat="1" applyFont="1" applyFill="1" applyBorder="1" applyAlignment="1">
      <alignment horizontal="center"/>
    </xf>
    <xf numFmtId="0" fontId="1" fillId="3" borderId="10" xfId="0" applyFont="1" applyFill="1" applyBorder="1"/>
    <xf numFmtId="166" fontId="16" fillId="4" borderId="11" xfId="0" applyNumberFormat="1" applyFont="1" applyFill="1" applyBorder="1" applyAlignment="1">
      <alignment horizontal="center"/>
    </xf>
    <xf numFmtId="165" fontId="16" fillId="4" borderId="11" xfId="0" applyNumberFormat="1" applyFont="1" applyFill="1" applyBorder="1" applyAlignment="1">
      <alignment horizontal="center"/>
    </xf>
    <xf numFmtId="165" fontId="1" fillId="3" borderId="10" xfId="0" applyNumberFormat="1" applyFont="1" applyFill="1" applyBorder="1"/>
    <xf numFmtId="0" fontId="13" fillId="0" borderId="0" xfId="0" applyFont="1"/>
    <xf numFmtId="165" fontId="16" fillId="4" borderId="12" xfId="0" applyNumberFormat="1" applyFont="1" applyFill="1" applyBorder="1" applyAlignment="1">
      <alignment horizontal="center"/>
    </xf>
    <xf numFmtId="0" fontId="13" fillId="3" borderId="4" xfId="0" applyFont="1" applyFill="1" applyBorder="1"/>
    <xf numFmtId="166" fontId="13" fillId="3" borderId="4" xfId="0" applyNumberFormat="1" applyFont="1" applyFill="1" applyBorder="1" applyAlignment="1">
      <alignment horizontal="center"/>
    </xf>
    <xf numFmtId="3" fontId="21" fillId="6" borderId="11" xfId="0" applyNumberFormat="1" applyFont="1" applyFill="1" applyBorder="1" applyAlignment="1">
      <alignment horizontal="center"/>
    </xf>
    <xf numFmtId="0" fontId="23" fillId="0" borderId="0" xfId="0" applyFont="1" applyAlignment="1">
      <alignment wrapText="1"/>
    </xf>
    <xf numFmtId="0" fontId="1" fillId="0" borderId="0" xfId="0" applyFont="1" applyAlignment="1">
      <alignment horizontal="left"/>
    </xf>
    <xf numFmtId="2" fontId="16" fillId="4" borderId="10" xfId="0" applyNumberFormat="1" applyFont="1" applyFill="1" applyBorder="1" applyAlignment="1">
      <alignment horizontal="center"/>
    </xf>
    <xf numFmtId="0" fontId="25" fillId="6" borderId="13" xfId="0" applyFont="1" applyFill="1" applyBorder="1"/>
    <xf numFmtId="1" fontId="25" fillId="6" borderId="13" xfId="0" applyNumberFormat="1" applyFont="1" applyFill="1" applyBorder="1" applyAlignment="1">
      <alignment horizontal="center"/>
    </xf>
    <xf numFmtId="0" fontId="25" fillId="6" borderId="13" xfId="0" applyFont="1" applyFill="1" applyBorder="1" applyAlignment="1">
      <alignment horizontal="center"/>
    </xf>
    <xf numFmtId="0" fontId="25" fillId="6" borderId="4" xfId="0" applyFont="1" applyFill="1" applyBorder="1" applyAlignment="1">
      <alignment horizontal="center"/>
    </xf>
    <xf numFmtId="0" fontId="25" fillId="6" borderId="14" xfId="0" applyFont="1" applyFill="1" applyBorder="1" applyAlignment="1">
      <alignment horizontal="center"/>
    </xf>
    <xf numFmtId="0" fontId="26" fillId="4" borderId="12" xfId="0" applyFont="1" applyFill="1" applyBorder="1" applyAlignment="1">
      <alignment horizontal="center"/>
    </xf>
    <xf numFmtId="165" fontId="26" fillId="4" borderId="12" xfId="0" applyNumberFormat="1" applyFont="1" applyFill="1" applyBorder="1" applyAlignment="1">
      <alignment horizontal="center"/>
    </xf>
    <xf numFmtId="0" fontId="13" fillId="3" borderId="13" xfId="0" applyFont="1" applyFill="1" applyBorder="1"/>
    <xf numFmtId="165" fontId="1" fillId="0" borderId="0" xfId="0" applyNumberFormat="1" applyFont="1"/>
    <xf numFmtId="167" fontId="13" fillId="7" borderId="4" xfId="0" applyNumberFormat="1" applyFont="1" applyFill="1" applyBorder="1"/>
    <xf numFmtId="0" fontId="13" fillId="3" borderId="10" xfId="0" applyFont="1" applyFill="1" applyBorder="1"/>
    <xf numFmtId="0" fontId="23" fillId="0" borderId="0" xfId="0" applyFont="1"/>
    <xf numFmtId="2" fontId="1" fillId="3" borderId="4" xfId="0" applyNumberFormat="1" applyFont="1" applyFill="1" applyBorder="1" applyAlignment="1">
      <alignment horizontal="center"/>
    </xf>
    <xf numFmtId="0" fontId="13" fillId="3" borderId="5" xfId="0" applyFont="1" applyFill="1" applyBorder="1"/>
    <xf numFmtId="2" fontId="1" fillId="3" borderId="5" xfId="0" applyNumberFormat="1" applyFont="1" applyFill="1" applyBorder="1" applyAlignment="1">
      <alignment horizontal="center"/>
    </xf>
    <xf numFmtId="0" fontId="13" fillId="3" borderId="12" xfId="0" applyFont="1" applyFill="1" applyBorder="1"/>
    <xf numFmtId="2" fontId="1" fillId="3" borderId="12" xfId="0" applyNumberFormat="1" applyFont="1" applyFill="1" applyBorder="1" applyAlignment="1">
      <alignment horizontal="center"/>
    </xf>
    <xf numFmtId="0" fontId="27" fillId="3" borderId="7" xfId="0" applyFont="1" applyFill="1" applyBorder="1"/>
    <xf numFmtId="0" fontId="1" fillId="3" borderId="15" xfId="0" applyFont="1" applyFill="1" applyBorder="1"/>
    <xf numFmtId="167" fontId="1" fillId="0" borderId="0" xfId="0" applyNumberFormat="1" applyFont="1"/>
    <xf numFmtId="168" fontId="1" fillId="0" borderId="0" xfId="0" applyNumberFormat="1" applyFont="1" applyAlignment="1">
      <alignment vertical="top"/>
    </xf>
    <xf numFmtId="0" fontId="28" fillId="0" borderId="0" xfId="0" applyFont="1"/>
    <xf numFmtId="0" fontId="13" fillId="0" borderId="4" xfId="0" applyFont="1" applyBorder="1" applyAlignment="1">
      <alignment horizontal="center"/>
    </xf>
    <xf numFmtId="168" fontId="13" fillId="0" borderId="4" xfId="0" applyNumberFormat="1" applyFont="1" applyBorder="1" applyAlignment="1">
      <alignment vertical="top"/>
    </xf>
    <xf numFmtId="0" fontId="13" fillId="0" borderId="4" xfId="0" applyFont="1" applyBorder="1" applyAlignment="1">
      <alignment vertical="top"/>
    </xf>
    <xf numFmtId="169" fontId="13" fillId="8" borderId="4" xfId="0" applyNumberFormat="1" applyFont="1" applyFill="1" applyBorder="1" applyAlignment="1">
      <alignment horizontal="right" vertical="top"/>
    </xf>
    <xf numFmtId="0" fontId="1" fillId="4" borderId="16" xfId="0" applyFont="1" applyFill="1" applyBorder="1" applyAlignment="1">
      <alignment wrapText="1"/>
    </xf>
    <xf numFmtId="0" fontId="1" fillId="0" borderId="17" xfId="0" applyFont="1" applyBorder="1"/>
    <xf numFmtId="0" fontId="1" fillId="0" borderId="4" xfId="0" applyFont="1" applyBorder="1"/>
    <xf numFmtId="168" fontId="1" fillId="0" borderId="4" xfId="0" applyNumberFormat="1" applyFont="1" applyBorder="1" applyAlignment="1">
      <alignment vertical="top" wrapText="1"/>
    </xf>
    <xf numFmtId="0" fontId="1" fillId="0" borderId="16" xfId="0" applyFont="1" applyBorder="1"/>
    <xf numFmtId="0" fontId="1" fillId="0" borderId="4" xfId="0" applyFont="1" applyBorder="1" applyAlignment="1">
      <alignment horizontal="left" vertical="top"/>
    </xf>
    <xf numFmtId="2" fontId="1" fillId="8" borderId="4" xfId="0" applyNumberFormat="1" applyFont="1" applyFill="1" applyBorder="1" applyAlignment="1">
      <alignment horizontal="right" vertical="top"/>
    </xf>
    <xf numFmtId="2" fontId="16" fillId="4" borderId="4" xfId="0" applyNumberFormat="1" applyFont="1" applyFill="1" applyBorder="1" applyAlignment="1">
      <alignment horizontal="right" vertical="top"/>
    </xf>
    <xf numFmtId="0" fontId="27" fillId="0" borderId="0" xfId="0" applyFont="1"/>
    <xf numFmtId="0" fontId="27" fillId="0" borderId="16" xfId="0" applyFont="1" applyBorder="1"/>
    <xf numFmtId="0" fontId="27" fillId="0" borderId="17" xfId="0" applyFont="1" applyBorder="1"/>
    <xf numFmtId="168" fontId="13" fillId="8" borderId="4" xfId="0" applyNumberFormat="1" applyFont="1" applyFill="1" applyBorder="1" applyAlignment="1">
      <alignment horizontal="right" vertical="top"/>
    </xf>
    <xf numFmtId="170" fontId="1" fillId="0" borderId="16" xfId="0" applyNumberFormat="1" applyFont="1" applyBorder="1"/>
    <xf numFmtId="171" fontId="1" fillId="0" borderId="16" xfId="0" applyNumberFormat="1" applyFont="1" applyBorder="1"/>
    <xf numFmtId="172" fontId="1" fillId="8" borderId="4" xfId="0" applyNumberFormat="1" applyFont="1" applyFill="1" applyBorder="1" applyAlignment="1">
      <alignment horizontal="right" vertical="top"/>
    </xf>
    <xf numFmtId="2" fontId="30" fillId="4" borderId="4" xfId="0" applyNumberFormat="1" applyFont="1" applyFill="1" applyBorder="1" applyAlignment="1">
      <alignment horizontal="right" vertical="top"/>
    </xf>
    <xf numFmtId="168" fontId="1" fillId="0" borderId="4" xfId="0" applyNumberFormat="1" applyFont="1" applyBorder="1" applyAlignment="1">
      <alignment vertical="top"/>
    </xf>
    <xf numFmtId="168" fontId="1" fillId="0" borderId="16" xfId="0" applyNumberFormat="1" applyFont="1" applyBorder="1"/>
    <xf numFmtId="173" fontId="1" fillId="8" borderId="4" xfId="0" applyNumberFormat="1" applyFont="1" applyFill="1" applyBorder="1" applyAlignment="1">
      <alignment horizontal="right" vertical="top"/>
    </xf>
    <xf numFmtId="10" fontId="30" fillId="4" borderId="4" xfId="0" applyNumberFormat="1" applyFont="1" applyFill="1" applyBorder="1" applyAlignment="1">
      <alignment horizontal="right" vertical="top"/>
    </xf>
    <xf numFmtId="10" fontId="16" fillId="4" borderId="4" xfId="0" applyNumberFormat="1" applyFont="1" applyFill="1" applyBorder="1" applyAlignment="1">
      <alignment horizontal="right" vertical="top"/>
    </xf>
    <xf numFmtId="172" fontId="13" fillId="8" borderId="4" xfId="0" applyNumberFormat="1" applyFont="1" applyFill="1" applyBorder="1" applyAlignment="1">
      <alignment horizontal="right" vertical="top"/>
    </xf>
    <xf numFmtId="9" fontId="18" fillId="0" borderId="16" xfId="0" applyNumberFormat="1" applyFont="1" applyBorder="1"/>
    <xf numFmtId="174" fontId="1" fillId="0" borderId="16" xfId="0" applyNumberFormat="1" applyFont="1" applyBorder="1"/>
    <xf numFmtId="173" fontId="13" fillId="8" borderId="4" xfId="0" applyNumberFormat="1" applyFont="1" applyFill="1" applyBorder="1" applyAlignment="1">
      <alignment horizontal="right" vertical="top"/>
    </xf>
    <xf numFmtId="2" fontId="31" fillId="8" borderId="4" xfId="0" applyNumberFormat="1" applyFont="1" applyFill="1" applyBorder="1" applyAlignment="1">
      <alignment horizontal="right" vertical="top"/>
    </xf>
    <xf numFmtId="4" fontId="1" fillId="4" borderId="16" xfId="0" applyNumberFormat="1" applyFont="1" applyFill="1" applyBorder="1"/>
    <xf numFmtId="4" fontId="1" fillId="0" borderId="16" xfId="0" applyNumberFormat="1" applyFont="1" applyBorder="1"/>
    <xf numFmtId="173" fontId="1" fillId="0" borderId="0" xfId="0" applyNumberFormat="1" applyFont="1" applyAlignment="1">
      <alignment horizontal="right"/>
    </xf>
    <xf numFmtId="169" fontId="32" fillId="0" borderId="0" xfId="0" applyNumberFormat="1" applyFont="1" applyAlignment="1">
      <alignment horizontal="right"/>
    </xf>
    <xf numFmtId="0" fontId="1" fillId="0" borderId="4" xfId="0" applyFont="1" applyBorder="1" applyAlignment="1">
      <alignment vertical="center"/>
    </xf>
    <xf numFmtId="9" fontId="1" fillId="8" borderId="4" xfId="0" applyNumberFormat="1" applyFont="1" applyFill="1" applyBorder="1"/>
    <xf numFmtId="10" fontId="16" fillId="0" borderId="0" xfId="0" applyNumberFormat="1" applyFont="1" applyAlignment="1">
      <alignment horizontal="right"/>
    </xf>
    <xf numFmtId="0" fontId="1" fillId="0" borderId="0" xfId="0" applyFont="1" applyAlignment="1">
      <alignment vertical="top"/>
    </xf>
    <xf numFmtId="173" fontId="30" fillId="0" borderId="4" xfId="0" applyNumberFormat="1" applyFont="1" applyBorder="1"/>
    <xf numFmtId="0" fontId="1" fillId="0" borderId="0" xfId="0" applyFont="1" applyAlignment="1">
      <alignment vertical="top" wrapText="1"/>
    </xf>
    <xf numFmtId="0" fontId="13" fillId="0" borderId="4" xfId="0" applyFont="1" applyBorder="1"/>
    <xf numFmtId="0" fontId="1" fillId="0" borderId="4" xfId="0" applyFont="1" applyBorder="1" applyAlignment="1">
      <alignment horizontal="center"/>
    </xf>
    <xf numFmtId="175" fontId="1" fillId="0" borderId="0" xfId="0" applyNumberFormat="1" applyFont="1"/>
    <xf numFmtId="172" fontId="16" fillId="0" borderId="0" xfId="0" applyNumberFormat="1" applyFont="1"/>
    <xf numFmtId="172" fontId="1" fillId="0" borderId="0" xfId="0" applyNumberFormat="1" applyFont="1"/>
    <xf numFmtId="172" fontId="16" fillId="0" borderId="8" xfId="0" applyNumberFormat="1" applyFont="1" applyBorder="1"/>
    <xf numFmtId="0" fontId="15" fillId="0" borderId="0" xfId="0" applyFont="1" applyAlignment="1">
      <alignment vertical="top"/>
    </xf>
    <xf numFmtId="0" fontId="33" fillId="0" borderId="0" xfId="0" applyFont="1"/>
    <xf numFmtId="0" fontId="12" fillId="3" borderId="2" xfId="0" applyFont="1" applyFill="1" applyBorder="1"/>
    <xf numFmtId="0" fontId="1" fillId="3" borderId="22" xfId="0" applyFont="1" applyFill="1" applyBorder="1"/>
    <xf numFmtId="0" fontId="1" fillId="3" borderId="9" xfId="0" applyFont="1" applyFill="1" applyBorder="1"/>
    <xf numFmtId="0" fontId="1" fillId="0" borderId="0" xfId="0" applyFont="1" applyAlignment="1">
      <alignment horizontal="center"/>
    </xf>
    <xf numFmtId="165" fontId="1" fillId="5" borderId="4" xfId="0" applyNumberFormat="1" applyFont="1" applyFill="1" applyBorder="1" applyAlignment="1">
      <alignment horizontal="center" vertical="center" wrapText="1"/>
    </xf>
    <xf numFmtId="1" fontId="1" fillId="5" borderId="4" xfId="0" applyNumberFormat="1" applyFont="1" applyFill="1" applyBorder="1" applyAlignment="1">
      <alignment horizontal="center" vertical="center" wrapText="1"/>
    </xf>
    <xf numFmtId="37" fontId="1" fillId="5" borderId="4" xfId="0" applyNumberFormat="1" applyFont="1" applyFill="1" applyBorder="1" applyAlignment="1">
      <alignment horizontal="center" vertical="center" wrapText="1"/>
    </xf>
    <xf numFmtId="172" fontId="26" fillId="3" borderId="4" xfId="0" applyNumberFormat="1" applyFont="1" applyFill="1" applyBorder="1"/>
    <xf numFmtId="172" fontId="16" fillId="3" borderId="4" xfId="0" applyNumberFormat="1" applyFont="1" applyFill="1" applyBorder="1"/>
    <xf numFmtId="172" fontId="1" fillId="5" borderId="4" xfId="0" applyNumberFormat="1" applyFont="1" applyFill="1" applyBorder="1"/>
    <xf numFmtId="172" fontId="1" fillId="3" borderId="4" xfId="0" applyNumberFormat="1" applyFont="1" applyFill="1" applyBorder="1"/>
    <xf numFmtId="172" fontId="26" fillId="0" borderId="4" xfId="0" applyNumberFormat="1" applyFont="1" applyBorder="1"/>
    <xf numFmtId="172" fontId="1" fillId="3" borderId="11" xfId="0" applyNumberFormat="1" applyFont="1" applyFill="1" applyBorder="1"/>
    <xf numFmtId="0" fontId="31" fillId="8" borderId="4" xfId="0" applyFont="1" applyFill="1" applyBorder="1" applyAlignment="1">
      <alignment wrapText="1"/>
    </xf>
    <xf numFmtId="172" fontId="1" fillId="8" borderId="4" xfId="0" applyNumberFormat="1" applyFont="1" applyFill="1" applyBorder="1"/>
    <xf numFmtId="172" fontId="34" fillId="0" borderId="4" xfId="0" applyNumberFormat="1" applyFont="1" applyBorder="1"/>
    <xf numFmtId="172" fontId="1" fillId="0" borderId="4" xfId="0" applyNumberFormat="1" applyFont="1" applyBorder="1"/>
    <xf numFmtId="172" fontId="32" fillId="3" borderId="4" xfId="0" applyNumberFormat="1" applyFont="1" applyFill="1" applyBorder="1"/>
    <xf numFmtId="172" fontId="29" fillId="3" borderId="4" xfId="0" applyNumberFormat="1" applyFont="1" applyFill="1" applyBorder="1"/>
    <xf numFmtId="172" fontId="16" fillId="0" borderId="4" xfId="0" applyNumberFormat="1" applyFont="1" applyBorder="1"/>
    <xf numFmtId="172" fontId="34" fillId="3" borderId="4" xfId="0" applyNumberFormat="1" applyFont="1" applyFill="1" applyBorder="1"/>
    <xf numFmtId="0" fontId="13" fillId="8" borderId="4" xfId="0" applyFont="1" applyFill="1" applyBorder="1" applyAlignment="1">
      <alignment wrapText="1"/>
    </xf>
    <xf numFmtId="169" fontId="1" fillId="8" borderId="4" xfId="0" applyNumberFormat="1" applyFont="1" applyFill="1" applyBorder="1"/>
    <xf numFmtId="167" fontId="1" fillId="3" borderId="10" xfId="0" applyNumberFormat="1" applyFont="1" applyFill="1" applyBorder="1"/>
    <xf numFmtId="172" fontId="1" fillId="3" borderId="10" xfId="0" applyNumberFormat="1" applyFont="1" applyFill="1" applyBorder="1"/>
    <xf numFmtId="9" fontId="1" fillId="3" borderId="10" xfId="0" applyNumberFormat="1" applyFont="1" applyFill="1" applyBorder="1" applyAlignment="1">
      <alignment horizontal="center"/>
    </xf>
    <xf numFmtId="0" fontId="1" fillId="3" borderId="7" xfId="0" applyFont="1" applyFill="1" applyBorder="1"/>
    <xf numFmtId="44" fontId="15" fillId="0" borderId="0" xfId="0" applyNumberFormat="1" applyFont="1"/>
    <xf numFmtId="0" fontId="35" fillId="0" borderId="0" xfId="0" applyFont="1"/>
    <xf numFmtId="0" fontId="35" fillId="0" borderId="0" xfId="0" applyFont="1" applyAlignment="1">
      <alignment horizontal="left"/>
    </xf>
    <xf numFmtId="166" fontId="1" fillId="5" borderId="4" xfId="0" applyNumberFormat="1" applyFont="1" applyFill="1" applyBorder="1" applyAlignment="1">
      <alignment horizontal="center" vertical="center" wrapText="1"/>
    </xf>
    <xf numFmtId="176" fontId="1" fillId="5" borderId="4" xfId="0" applyNumberFormat="1" applyFont="1" applyFill="1" applyBorder="1" applyAlignment="1">
      <alignment horizontal="center" vertical="center" wrapText="1"/>
    </xf>
    <xf numFmtId="0" fontId="29" fillId="3" borderId="23" xfId="0" applyFont="1" applyFill="1" applyBorder="1" applyAlignment="1">
      <alignment horizontal="left" wrapText="1"/>
    </xf>
    <xf numFmtId="177" fontId="36" fillId="0" borderId="4" xfId="0" applyNumberFormat="1" applyFont="1" applyBorder="1" applyAlignment="1">
      <alignment horizontal="right"/>
    </xf>
    <xf numFmtId="172" fontId="29" fillId="0" borderId="4" xfId="0" applyNumberFormat="1" applyFont="1" applyBorder="1"/>
    <xf numFmtId="172" fontId="1" fillId="3" borderId="12" xfId="0" applyNumberFormat="1" applyFont="1" applyFill="1" applyBorder="1"/>
    <xf numFmtId="172" fontId="1" fillId="5" borderId="12" xfId="0" applyNumberFormat="1" applyFont="1" applyFill="1" applyBorder="1"/>
    <xf numFmtId="175" fontId="1" fillId="3" borderId="4" xfId="0" applyNumberFormat="1" applyFont="1" applyFill="1" applyBorder="1"/>
    <xf numFmtId="172" fontId="37" fillId="3" borderId="4" xfId="0" applyNumberFormat="1" applyFont="1" applyFill="1" applyBorder="1"/>
    <xf numFmtId="172" fontId="38" fillId="3" borderId="4" xfId="0" applyNumberFormat="1" applyFont="1" applyFill="1" applyBorder="1"/>
    <xf numFmtId="172" fontId="16" fillId="11" borderId="4" xfId="0" applyNumberFormat="1" applyFont="1" applyFill="1" applyBorder="1"/>
    <xf numFmtId="172" fontId="26" fillId="11" borderId="4" xfId="0" applyNumberFormat="1" applyFont="1" applyFill="1" applyBorder="1"/>
    <xf numFmtId="172" fontId="1" fillId="11" borderId="4" xfId="0" applyNumberFormat="1" applyFont="1" applyFill="1" applyBorder="1"/>
    <xf numFmtId="167" fontId="1" fillId="8" borderId="4" xfId="0" applyNumberFormat="1" applyFont="1" applyFill="1" applyBorder="1"/>
    <xf numFmtId="167" fontId="41" fillId="3" borderId="10" xfId="0" applyNumberFormat="1" applyFont="1" applyFill="1" applyBorder="1"/>
    <xf numFmtId="172" fontId="32" fillId="3" borderId="11" xfId="0" applyNumberFormat="1" applyFont="1" applyFill="1" applyBorder="1"/>
    <xf numFmtId="0" fontId="31" fillId="8" borderId="4" xfId="0" applyFont="1" applyFill="1" applyBorder="1"/>
    <xf numFmtId="172" fontId="26" fillId="0" borderId="0" xfId="0" applyNumberFormat="1" applyFont="1"/>
    <xf numFmtId="172" fontId="42" fillId="0" borderId="4" xfId="0" applyNumberFormat="1" applyFont="1" applyBorder="1"/>
    <xf numFmtId="172" fontId="1" fillId="12" borderId="4" xfId="0" applyNumberFormat="1" applyFont="1" applyFill="1" applyBorder="1"/>
    <xf numFmtId="165" fontId="1" fillId="8" borderId="4" xfId="0" applyNumberFormat="1" applyFont="1" applyFill="1" applyBorder="1" applyAlignment="1">
      <alignment horizontal="center" vertical="center" wrapText="1"/>
    </xf>
    <xf numFmtId="166" fontId="1" fillId="8" borderId="4" xfId="0" applyNumberFormat="1" applyFont="1" applyFill="1" applyBorder="1" applyAlignment="1">
      <alignment horizontal="center" vertical="center" wrapText="1"/>
    </xf>
    <xf numFmtId="176" fontId="1" fillId="8" borderId="4" xfId="0" applyNumberFormat="1" applyFont="1" applyFill="1" applyBorder="1" applyAlignment="1">
      <alignment horizontal="center" vertical="center" wrapText="1"/>
    </xf>
    <xf numFmtId="0" fontId="29" fillId="0" borderId="24" xfId="0" applyFont="1" applyBorder="1" applyAlignment="1">
      <alignment horizontal="left" wrapText="1"/>
    </xf>
    <xf numFmtId="172" fontId="1" fillId="0" borderId="24" xfId="0" applyNumberFormat="1" applyFont="1" applyBorder="1"/>
    <xf numFmtId="172" fontId="26" fillId="3" borderId="11" xfId="0" applyNumberFormat="1" applyFont="1" applyFill="1" applyBorder="1"/>
    <xf numFmtId="0" fontId="13" fillId="8" borderId="4" xfId="0" applyFont="1" applyFill="1" applyBorder="1"/>
    <xf numFmtId="169" fontId="1" fillId="0" borderId="0" xfId="0" applyNumberFormat="1" applyFont="1"/>
    <xf numFmtId="0" fontId="12" fillId="3" borderId="25" xfId="0" applyFont="1" applyFill="1" applyBorder="1"/>
    <xf numFmtId="0" fontId="1" fillId="3" borderId="26" xfId="0" applyFont="1" applyFill="1" applyBorder="1"/>
    <xf numFmtId="0" fontId="1" fillId="3" borderId="27" xfId="0" applyFont="1" applyFill="1" applyBorder="1"/>
    <xf numFmtId="0" fontId="12" fillId="3" borderId="28" xfId="0" applyFont="1" applyFill="1" applyBorder="1"/>
    <xf numFmtId="0" fontId="1" fillId="3" borderId="29" xfId="0" applyFont="1" applyFill="1" applyBorder="1"/>
    <xf numFmtId="0" fontId="43" fillId="3" borderId="28" xfId="0" applyFont="1" applyFill="1" applyBorder="1" applyAlignment="1">
      <alignment horizontal="left"/>
    </xf>
    <xf numFmtId="165" fontId="44" fillId="5" borderId="4" xfId="0" applyNumberFormat="1" applyFont="1" applyFill="1" applyBorder="1" applyAlignment="1">
      <alignment horizontal="center" vertical="center" wrapText="1"/>
    </xf>
    <xf numFmtId="0" fontId="44" fillId="3" borderId="29" xfId="0" applyFont="1" applyFill="1" applyBorder="1" applyAlignment="1">
      <alignment horizontal="center"/>
    </xf>
    <xf numFmtId="0" fontId="44" fillId="0" borderId="0" xfId="0" applyFont="1" applyAlignment="1">
      <alignment horizontal="center"/>
    </xf>
    <xf numFmtId="0" fontId="45" fillId="3" borderId="28" xfId="0" applyFont="1" applyFill="1" applyBorder="1" applyAlignment="1">
      <alignment horizontal="right"/>
    </xf>
    <xf numFmtId="37" fontId="44" fillId="5" borderId="4" xfId="0" applyNumberFormat="1" applyFont="1" applyFill="1" applyBorder="1" applyAlignment="1">
      <alignment horizontal="center" vertical="center" wrapText="1"/>
    </xf>
    <xf numFmtId="37" fontId="44" fillId="8" borderId="4" xfId="0" applyNumberFormat="1" applyFont="1" applyFill="1" applyBorder="1" applyAlignment="1">
      <alignment horizontal="center" vertical="center" wrapText="1"/>
    </xf>
    <xf numFmtId="165" fontId="44" fillId="3" borderId="11" xfId="0" applyNumberFormat="1" applyFont="1" applyFill="1" applyBorder="1" applyAlignment="1">
      <alignment horizontal="center" vertical="center" wrapText="1"/>
    </xf>
    <xf numFmtId="167" fontId="44" fillId="0" borderId="24" xfId="0" applyNumberFormat="1" applyFont="1" applyBorder="1"/>
    <xf numFmtId="0" fontId="44" fillId="3" borderId="29" xfId="0" applyFont="1" applyFill="1" applyBorder="1"/>
    <xf numFmtId="0" fontId="44" fillId="0" borderId="0" xfId="0" applyFont="1"/>
    <xf numFmtId="0" fontId="46" fillId="3" borderId="28" xfId="0" applyFont="1" applyFill="1" applyBorder="1" applyAlignment="1">
      <alignment horizontal="left" wrapText="1"/>
    </xf>
    <xf numFmtId="172" fontId="44" fillId="0" borderId="24" xfId="0" applyNumberFormat="1" applyFont="1" applyBorder="1"/>
    <xf numFmtId="0" fontId="44" fillId="3" borderId="28" xfId="0" applyFont="1" applyFill="1" applyBorder="1" applyAlignment="1">
      <alignment horizontal="left" wrapText="1"/>
    </xf>
    <xf numFmtId="172" fontId="44" fillId="3" borderId="30" xfId="0" applyNumberFormat="1" applyFont="1" applyFill="1" applyBorder="1"/>
    <xf numFmtId="0" fontId="47" fillId="3" borderId="28" xfId="0" applyFont="1" applyFill="1" applyBorder="1"/>
    <xf numFmtId="0" fontId="46" fillId="3" borderId="28" xfId="0" applyFont="1" applyFill="1" applyBorder="1"/>
    <xf numFmtId="172" fontId="44" fillId="3" borderId="10" xfId="0" applyNumberFormat="1" applyFont="1" applyFill="1" applyBorder="1"/>
    <xf numFmtId="169" fontId="44" fillId="0" borderId="24" xfId="0" applyNumberFormat="1" applyFont="1" applyBorder="1"/>
    <xf numFmtId="0" fontId="46" fillId="3" borderId="28" xfId="0" applyFont="1" applyFill="1" applyBorder="1" applyAlignment="1">
      <alignment horizontal="left"/>
    </xf>
    <xf numFmtId="0" fontId="44" fillId="3" borderId="28" xfId="0" applyFont="1" applyFill="1" applyBorder="1" applyAlignment="1">
      <alignment horizontal="left"/>
    </xf>
    <xf numFmtId="172" fontId="44" fillId="13" borderId="24" xfId="0" applyNumberFormat="1" applyFont="1" applyFill="1" applyBorder="1"/>
    <xf numFmtId="167" fontId="44" fillId="3" borderId="31" xfId="0" applyNumberFormat="1" applyFont="1" applyFill="1" applyBorder="1"/>
    <xf numFmtId="0" fontId="44" fillId="3" borderId="28" xfId="0" applyFont="1" applyFill="1" applyBorder="1"/>
    <xf numFmtId="0" fontId="43" fillId="3" borderId="28" xfId="0" applyFont="1" applyFill="1" applyBorder="1"/>
    <xf numFmtId="0" fontId="47" fillId="14" borderId="28" xfId="0" applyFont="1" applyFill="1" applyBorder="1"/>
    <xf numFmtId="167" fontId="44" fillId="14" borderId="32" xfId="0" applyNumberFormat="1" applyFont="1" applyFill="1" applyBorder="1"/>
    <xf numFmtId="167" fontId="44" fillId="3" borderId="32" xfId="0" applyNumberFormat="1" applyFont="1" applyFill="1" applyBorder="1"/>
    <xf numFmtId="0" fontId="1" fillId="3" borderId="28" xfId="0" applyFont="1" applyFill="1" applyBorder="1"/>
    <xf numFmtId="9" fontId="44" fillId="3" borderId="33" xfId="0" applyNumberFormat="1" applyFont="1" applyFill="1" applyBorder="1" applyAlignment="1">
      <alignment horizontal="center"/>
    </xf>
    <xf numFmtId="0" fontId="44" fillId="3" borderId="34" xfId="0" applyFont="1" applyFill="1" applyBorder="1"/>
    <xf numFmtId="0" fontId="13" fillId="8" borderId="25" xfId="0" applyFont="1" applyFill="1" applyBorder="1"/>
    <xf numFmtId="167" fontId="13" fillId="8" borderId="26" xfId="0" applyNumberFormat="1" applyFont="1" applyFill="1" applyBorder="1"/>
    <xf numFmtId="0" fontId="1" fillId="8" borderId="27" xfId="0" applyFont="1" applyFill="1" applyBorder="1"/>
    <xf numFmtId="0" fontId="23" fillId="8" borderId="28" xfId="0" applyFont="1" applyFill="1" applyBorder="1"/>
    <xf numFmtId="0" fontId="27" fillId="8" borderId="29" xfId="0" applyFont="1" applyFill="1" applyBorder="1"/>
    <xf numFmtId="0" fontId="13" fillId="8" borderId="28" xfId="0" applyFont="1" applyFill="1" applyBorder="1"/>
    <xf numFmtId="0" fontId="1" fillId="8" borderId="29" xfId="0" applyFont="1" applyFill="1" applyBorder="1"/>
    <xf numFmtId="0" fontId="1" fillId="8" borderId="35" xfId="0" applyFont="1" applyFill="1" applyBorder="1"/>
    <xf numFmtId="0" fontId="1" fillId="8" borderId="33" xfId="0" applyFont="1" applyFill="1" applyBorder="1"/>
    <xf numFmtId="0" fontId="1" fillId="8" borderId="34" xfId="0" applyFont="1" applyFill="1" applyBorder="1"/>
    <xf numFmtId="9" fontId="1" fillId="0" borderId="0" xfId="0" applyNumberFormat="1" applyFont="1" applyAlignment="1">
      <alignment horizontal="center"/>
    </xf>
    <xf numFmtId="169" fontId="13" fillId="0" borderId="0" xfId="0" applyNumberFormat="1" applyFont="1"/>
    <xf numFmtId="0" fontId="23" fillId="0" borderId="0" xfId="0" applyFont="1" applyAlignment="1">
      <alignment horizontal="left"/>
    </xf>
    <xf numFmtId="9" fontId="23" fillId="0" borderId="0" xfId="0" applyNumberFormat="1" applyFont="1" applyAlignment="1">
      <alignment horizontal="center"/>
    </xf>
    <xf numFmtId="0" fontId="27" fillId="0" borderId="0" xfId="0" applyFont="1" applyAlignment="1">
      <alignment horizontal="center"/>
    </xf>
    <xf numFmtId="0" fontId="13" fillId="3" borderId="28" xfId="0" applyFont="1" applyFill="1" applyBorder="1" applyAlignment="1">
      <alignment horizontal="left"/>
    </xf>
    <xf numFmtId="0" fontId="1" fillId="3" borderId="29" xfId="0" applyFont="1" applyFill="1" applyBorder="1" applyAlignment="1">
      <alignment horizontal="center"/>
    </xf>
    <xf numFmtId="0" fontId="23" fillId="3" borderId="28" xfId="0" applyFont="1" applyFill="1" applyBorder="1" applyAlignment="1">
      <alignment horizontal="right"/>
    </xf>
    <xf numFmtId="0" fontId="1" fillId="3" borderId="36" xfId="0" applyFont="1" applyFill="1" applyBorder="1" applyAlignment="1">
      <alignment horizontal="left"/>
    </xf>
    <xf numFmtId="172" fontId="1" fillId="3" borderId="30" xfId="0" applyNumberFormat="1" applyFont="1" applyFill="1" applyBorder="1"/>
    <xf numFmtId="0" fontId="13" fillId="3" borderId="36" xfId="0" applyFont="1" applyFill="1" applyBorder="1"/>
    <xf numFmtId="0" fontId="1" fillId="3" borderId="36" xfId="0" applyFont="1" applyFill="1" applyBorder="1"/>
    <xf numFmtId="167" fontId="1" fillId="3" borderId="37" xfId="0" applyNumberFormat="1" applyFont="1" applyFill="1" applyBorder="1"/>
    <xf numFmtId="167" fontId="1" fillId="3" borderId="31" xfId="0" applyNumberFormat="1" applyFont="1" applyFill="1" applyBorder="1"/>
    <xf numFmtId="0" fontId="1" fillId="3" borderId="28" xfId="0" applyFont="1" applyFill="1" applyBorder="1" applyAlignment="1">
      <alignment horizontal="left"/>
    </xf>
    <xf numFmtId="0" fontId="13" fillId="3" borderId="28" xfId="0" applyFont="1" applyFill="1" applyBorder="1"/>
    <xf numFmtId="167" fontId="1" fillId="5" borderId="32" xfId="0" applyNumberFormat="1" applyFont="1" applyFill="1" applyBorder="1"/>
    <xf numFmtId="9" fontId="1" fillId="3" borderId="33" xfId="0" applyNumberFormat="1" applyFont="1" applyFill="1" applyBorder="1" applyAlignment="1">
      <alignment horizontal="center"/>
    </xf>
    <xf numFmtId="0" fontId="1" fillId="3" borderId="34" xfId="0" applyFont="1" applyFill="1" applyBorder="1"/>
    <xf numFmtId="172" fontId="1" fillId="0" borderId="4" xfId="0" applyNumberFormat="1" applyFont="1" applyBorder="1" applyAlignment="1">
      <alignment horizontal="center"/>
    </xf>
    <xf numFmtId="0" fontId="49" fillId="0" borderId="0" xfId="0" applyFont="1"/>
    <xf numFmtId="172" fontId="13" fillId="0" borderId="0" xfId="0" applyNumberFormat="1" applyFont="1"/>
    <xf numFmtId="0" fontId="19" fillId="0" borderId="0" xfId="0" applyFont="1" applyAlignment="1">
      <alignment horizontal="left" vertical="top" wrapText="1"/>
    </xf>
    <xf numFmtId="0" fontId="1" fillId="2" borderId="1" xfId="0" applyFont="1" applyFill="1" applyBorder="1"/>
    <xf numFmtId="0" fontId="2" fillId="2" borderId="1" xfId="0" applyFont="1" applyFill="1" applyBorder="1"/>
    <xf numFmtId="0" fontId="3" fillId="2" borderId="1" xfId="0" applyFont="1" applyFill="1" applyBorder="1"/>
    <xf numFmtId="0" fontId="4" fillId="2" borderId="1" xfId="0" applyFont="1" applyFill="1" applyBorder="1" applyAlignment="1">
      <alignment horizontal="center" vertical="center" wrapText="1"/>
    </xf>
    <xf numFmtId="0" fontId="5" fillId="0" borderId="1" xfId="0" applyFont="1" applyBorder="1" applyAlignment="1"/>
    <xf numFmtId="0" fontId="6" fillId="2" borderId="1" xfId="0" applyFont="1" applyFill="1" applyBorder="1" applyAlignment="1">
      <alignment horizontal="center"/>
    </xf>
    <xf numFmtId="0" fontId="7" fillId="2" borderId="1" xfId="0" applyFont="1" applyFill="1" applyBorder="1" applyAlignment="1">
      <alignment horizontal="center"/>
    </xf>
    <xf numFmtId="0" fontId="8" fillId="2" borderId="1" xfId="0" applyFont="1" applyFill="1" applyBorder="1" applyAlignment="1">
      <alignment horizontal="center"/>
    </xf>
    <xf numFmtId="0" fontId="9" fillId="2" borderId="1" xfId="0" applyFont="1" applyFill="1" applyBorder="1" applyAlignment="1">
      <alignment horizontal="center"/>
    </xf>
    <xf numFmtId="0" fontId="10" fillId="2" borderId="1" xfId="0" applyFont="1" applyFill="1" applyBorder="1" applyAlignment="1">
      <alignment horizontal="center"/>
    </xf>
    <xf numFmtId="164" fontId="11" fillId="2" borderId="1" xfId="0" applyNumberFormat="1" applyFont="1" applyFill="1" applyBorder="1" applyAlignment="1">
      <alignment horizontal="center"/>
    </xf>
    <xf numFmtId="14" fontId="1" fillId="2" borderId="1" xfId="0" applyNumberFormat="1" applyFont="1" applyFill="1" applyBorder="1"/>
    <xf numFmtId="0" fontId="14" fillId="3" borderId="22" xfId="0" applyFont="1" applyFill="1" applyBorder="1" applyAlignment="1">
      <alignment horizontal="center" wrapText="1"/>
    </xf>
    <xf numFmtId="0" fontId="5" fillId="0" borderId="22" xfId="0" applyFont="1" applyBorder="1" applyAlignment="1"/>
    <xf numFmtId="0" fontId="15" fillId="0" borderId="22" xfId="0" applyFont="1" applyBorder="1" applyAlignment="1">
      <alignment wrapText="1"/>
    </xf>
    <xf numFmtId="0" fontId="14" fillId="3" borderId="14" xfId="0" applyFont="1" applyFill="1" applyBorder="1" applyAlignment="1">
      <alignment horizontal="center" wrapText="1"/>
    </xf>
    <xf numFmtId="0" fontId="5" fillId="0" borderId="14" xfId="0" applyFont="1" applyBorder="1" applyAlignment="1"/>
    <xf numFmtId="0" fontId="5" fillId="0" borderId="3" xfId="0" applyFont="1" applyBorder="1" applyAlignment="1"/>
    <xf numFmtId="0" fontId="13" fillId="3" borderId="23" xfId="0" applyFont="1" applyFill="1" applyBorder="1" applyAlignment="1">
      <alignment horizontal="center"/>
    </xf>
    <xf numFmtId="0" fontId="15" fillId="0" borderId="26" xfId="0" applyFont="1" applyBorder="1"/>
    <xf numFmtId="0" fontId="13" fillId="3" borderId="23" xfId="0" applyFont="1" applyFill="1" applyBorder="1" applyAlignment="1">
      <alignment horizontal="left"/>
    </xf>
    <xf numFmtId="0" fontId="1" fillId="0" borderId="10" xfId="0" applyFont="1" applyBorder="1"/>
    <xf numFmtId="0" fontId="1" fillId="3" borderId="1" xfId="0" applyFont="1" applyFill="1" applyBorder="1"/>
    <xf numFmtId="0" fontId="1" fillId="3" borderId="8" xfId="0" applyFont="1" applyFill="1" applyBorder="1"/>
    <xf numFmtId="0" fontId="1" fillId="0" borderId="15" xfId="0" applyFont="1" applyBorder="1"/>
    <xf numFmtId="0" fontId="0" fillId="0" borderId="0" xfId="0" applyAlignment="1"/>
    <xf numFmtId="0" fontId="13" fillId="0" borderId="13" xfId="0" applyFont="1" applyBorder="1" applyAlignment="1">
      <alignment horizontal="center" vertical="center" wrapText="1"/>
    </xf>
    <xf numFmtId="0" fontId="20" fillId="5" borderId="11" xfId="0" applyFont="1" applyFill="1" applyBorder="1" applyAlignment="1">
      <alignment horizontal="center" vertical="center" wrapText="1"/>
    </xf>
    <xf numFmtId="0" fontId="1" fillId="3" borderId="23" xfId="0" applyFont="1" applyFill="1" applyBorder="1"/>
    <xf numFmtId="0" fontId="5" fillId="0" borderId="12" xfId="0" applyFont="1" applyBorder="1" applyAlignment="1"/>
    <xf numFmtId="0" fontId="16" fillId="4" borderId="24" xfId="0" applyFont="1" applyFill="1" applyBorder="1"/>
    <xf numFmtId="166" fontId="16" fillId="4" borderId="23" xfId="0" applyNumberFormat="1" applyFont="1" applyFill="1" applyBorder="1" applyAlignment="1">
      <alignment horizontal="center"/>
    </xf>
    <xf numFmtId="0" fontId="13" fillId="3" borderId="1" xfId="0" applyFont="1" applyFill="1" applyBorder="1"/>
    <xf numFmtId="166" fontId="16" fillId="4" borderId="24" xfId="0" applyNumberFormat="1" applyFont="1" applyFill="1" applyBorder="1" applyAlignment="1">
      <alignment horizontal="center"/>
    </xf>
    <xf numFmtId="165" fontId="16" fillId="4" borderId="24" xfId="0" applyNumberFormat="1" applyFont="1" applyFill="1" applyBorder="1" applyAlignment="1">
      <alignment horizontal="center"/>
    </xf>
    <xf numFmtId="0" fontId="16" fillId="4" borderId="23" xfId="0" applyFont="1" applyFill="1" applyBorder="1"/>
    <xf numFmtId="0" fontId="22" fillId="3" borderId="1" xfId="0" applyFont="1" applyFill="1" applyBorder="1"/>
    <xf numFmtId="0" fontId="1" fillId="4" borderId="1" xfId="0" applyFont="1" applyFill="1" applyBorder="1"/>
    <xf numFmtId="166" fontId="16" fillId="4" borderId="1" xfId="0" applyNumberFormat="1" applyFont="1" applyFill="1" applyBorder="1" applyAlignment="1">
      <alignment horizontal="center"/>
    </xf>
    <xf numFmtId="0" fontId="16" fillId="4" borderId="24" xfId="0" applyFont="1" applyFill="1" applyBorder="1" applyAlignment="1">
      <alignment horizontal="left"/>
    </xf>
    <xf numFmtId="165" fontId="1" fillId="3" borderId="1" xfId="0" applyNumberFormat="1" applyFont="1" applyFill="1" applyBorder="1"/>
    <xf numFmtId="0" fontId="1" fillId="0" borderId="14" xfId="0" applyFont="1" applyBorder="1"/>
    <xf numFmtId="0" fontId="13" fillId="3" borderId="23" xfId="0" applyFont="1" applyFill="1" applyBorder="1"/>
    <xf numFmtId="165" fontId="13" fillId="3" borderId="1" xfId="0" applyNumberFormat="1" applyFont="1" applyFill="1" applyBorder="1"/>
    <xf numFmtId="2" fontId="16" fillId="4" borderId="23" xfId="0" applyNumberFormat="1" applyFont="1" applyFill="1" applyBorder="1" applyAlignment="1">
      <alignment horizontal="center"/>
    </xf>
    <xf numFmtId="2" fontId="16" fillId="4" borderId="24" xfId="0" applyNumberFormat="1" applyFont="1" applyFill="1" applyBorder="1" applyAlignment="1">
      <alignment horizontal="center"/>
    </xf>
    <xf numFmtId="3" fontId="1" fillId="3" borderId="1" xfId="0" applyNumberFormat="1" applyFont="1" applyFill="1" applyBorder="1"/>
    <xf numFmtId="0" fontId="16" fillId="4" borderId="24" xfId="0" applyFont="1" applyFill="1" applyBorder="1" applyAlignment="1">
      <alignment wrapText="1"/>
    </xf>
    <xf numFmtId="0" fontId="16" fillId="4" borderId="1" xfId="0" applyFont="1" applyFill="1" applyBorder="1"/>
    <xf numFmtId="0" fontId="24" fillId="0" borderId="23" xfId="0" applyFont="1" applyBorder="1" applyAlignment="1">
      <alignment horizontal="left" wrapText="1"/>
    </xf>
    <xf numFmtId="0" fontId="5" fillId="0" borderId="23" xfId="0" applyFont="1" applyBorder="1" applyAlignment="1"/>
    <xf numFmtId="165" fontId="26" fillId="4" borderId="24" xfId="0" applyNumberFormat="1" applyFont="1" applyFill="1" applyBorder="1" applyAlignment="1">
      <alignment horizontal="center"/>
    </xf>
    <xf numFmtId="0" fontId="26" fillId="4" borderId="23" xfId="0" applyFont="1" applyFill="1" applyBorder="1"/>
    <xf numFmtId="1" fontId="26" fillId="4" borderId="23" xfId="0" applyNumberFormat="1" applyFont="1" applyFill="1" applyBorder="1" applyAlignment="1">
      <alignment horizontal="center"/>
    </xf>
    <xf numFmtId="0" fontId="26" fillId="4" borderId="23" xfId="0" applyFont="1" applyFill="1" applyBorder="1" applyAlignment="1">
      <alignment horizontal="center"/>
    </xf>
    <xf numFmtId="0" fontId="26" fillId="4" borderId="24" xfId="0" applyFont="1" applyFill="1" applyBorder="1" applyAlignment="1">
      <alignment horizontal="center"/>
    </xf>
    <xf numFmtId="0" fontId="26" fillId="4" borderId="1" xfId="0" applyFont="1" applyFill="1" applyBorder="1" applyAlignment="1">
      <alignment horizontal="center"/>
    </xf>
    <xf numFmtId="9" fontId="26" fillId="4" borderId="1" xfId="0" applyNumberFormat="1" applyFont="1" applyFill="1" applyBorder="1" applyAlignment="1">
      <alignment horizontal="center"/>
    </xf>
    <xf numFmtId="1" fontId="1" fillId="3" borderId="1" xfId="0" applyNumberFormat="1" applyFont="1" applyFill="1" applyBorder="1"/>
    <xf numFmtId="166" fontId="1" fillId="3" borderId="1" xfId="0" applyNumberFormat="1" applyFont="1" applyFill="1" applyBorder="1" applyAlignment="1">
      <alignment horizontal="center"/>
    </xf>
    <xf numFmtId="0" fontId="13" fillId="0" borderId="13" xfId="0" applyFont="1" applyBorder="1" applyAlignment="1">
      <alignment horizontal="center"/>
    </xf>
    <xf numFmtId="0" fontId="13" fillId="3" borderId="23" xfId="0" applyFont="1" applyFill="1" applyBorder="1" applyAlignment="1">
      <alignment vertical="top"/>
    </xf>
    <xf numFmtId="0" fontId="29" fillId="3" borderId="23" xfId="0" applyFont="1" applyFill="1" applyBorder="1" applyAlignment="1">
      <alignment horizontal="left" vertical="top" wrapText="1"/>
    </xf>
    <xf numFmtId="0" fontId="29" fillId="9" borderId="4" xfId="0" applyFont="1" applyFill="1" applyBorder="1"/>
    <xf numFmtId="9" fontId="29" fillId="9" borderId="3" xfId="0" applyNumberFormat="1" applyFont="1" applyFill="1" applyBorder="1" applyAlignment="1">
      <alignment horizontal="right"/>
    </xf>
    <xf numFmtId="10" fontId="29" fillId="10" borderId="3" xfId="0" applyNumberFormat="1" applyFont="1" applyFill="1" applyBorder="1" applyAlignment="1">
      <alignment horizontal="right"/>
    </xf>
    <xf numFmtId="10" fontId="29" fillId="9" borderId="3" xfId="0" applyNumberFormat="1" applyFont="1" applyFill="1" applyBorder="1" applyAlignment="1">
      <alignment horizontal="right"/>
    </xf>
    <xf numFmtId="0" fontId="15" fillId="9" borderId="0" xfId="0" applyFont="1" applyFill="1"/>
    <xf numFmtId="0" fontId="29" fillId="9" borderId="0" xfId="0" applyFont="1" applyFill="1" applyAlignment="1"/>
    <xf numFmtId="0" fontId="29" fillId="0" borderId="0" xfId="0" applyFont="1"/>
    <xf numFmtId="168" fontId="29" fillId="0" borderId="0" xfId="0" applyNumberFormat="1" applyFont="1" applyAlignment="1">
      <alignment vertical="top"/>
    </xf>
    <xf numFmtId="0" fontId="1" fillId="0" borderId="13" xfId="0" applyFont="1" applyBorder="1" applyAlignment="1">
      <alignment horizontal="center"/>
    </xf>
    <xf numFmtId="172" fontId="16" fillId="4" borderId="1" xfId="0" applyNumberFormat="1" applyFont="1" applyFill="1" applyBorder="1"/>
    <xf numFmtId="0" fontId="18" fillId="0" borderId="25" xfId="0" applyFont="1" applyBorder="1"/>
    <xf numFmtId="0" fontId="18" fillId="0" borderId="18" xfId="0" applyFont="1" applyBorder="1"/>
    <xf numFmtId="0" fontId="18" fillId="0" borderId="19" xfId="0" applyFont="1" applyBorder="1"/>
    <xf numFmtId="0" fontId="18" fillId="0" borderId="33" xfId="0" applyFont="1" applyBorder="1"/>
    <xf numFmtId="10" fontId="18" fillId="0" borderId="20" xfId="0" applyNumberFormat="1" applyFont="1" applyBorder="1" applyAlignment="1">
      <alignment horizontal="right"/>
    </xf>
    <xf numFmtId="1" fontId="18" fillId="0" borderId="0" xfId="0" applyNumberFormat="1" applyFont="1" applyAlignment="1">
      <alignment horizontal="right"/>
    </xf>
    <xf numFmtId="1" fontId="18" fillId="0" borderId="29" xfId="0" applyNumberFormat="1" applyFont="1" applyBorder="1" applyAlignment="1">
      <alignment horizontal="right"/>
    </xf>
    <xf numFmtId="0" fontId="18" fillId="0" borderId="28" xfId="0" applyFont="1" applyBorder="1"/>
    <xf numFmtId="0" fontId="18" fillId="0" borderId="29" xfId="0" applyFont="1" applyBorder="1"/>
    <xf numFmtId="10" fontId="18" fillId="0" borderId="21" xfId="0" applyNumberFormat="1" applyFont="1" applyBorder="1" applyAlignment="1">
      <alignment horizontal="right"/>
    </xf>
    <xf numFmtId="1" fontId="18" fillId="0" borderId="33" xfId="0" applyNumberFormat="1" applyFont="1" applyBorder="1" applyAlignment="1">
      <alignment horizontal="right"/>
    </xf>
    <xf numFmtId="1" fontId="18" fillId="0" borderId="34" xfId="0" applyNumberFormat="1" applyFont="1" applyBorder="1" applyAlignment="1">
      <alignment horizontal="right"/>
    </xf>
    <xf numFmtId="165" fontId="12" fillId="3" borderId="23" xfId="0" applyNumberFormat="1" applyFont="1" applyFill="1" applyBorder="1"/>
    <xf numFmtId="0" fontId="1" fillId="3" borderId="23" xfId="0" applyFont="1" applyFill="1" applyBorder="1" applyAlignment="1">
      <alignment horizontal="center"/>
    </xf>
    <xf numFmtId="165" fontId="13" fillId="5" borderId="13" xfId="0" applyNumberFormat="1" applyFont="1" applyFill="1" applyBorder="1" applyAlignment="1">
      <alignment horizontal="center"/>
    </xf>
    <xf numFmtId="0" fontId="23" fillId="3" borderId="23" xfId="0" applyFont="1" applyFill="1" applyBorder="1" applyAlignment="1">
      <alignment horizontal="right"/>
    </xf>
    <xf numFmtId="165" fontId="1" fillId="3" borderId="24" xfId="0" applyNumberFormat="1" applyFont="1" applyFill="1" applyBorder="1" applyAlignment="1">
      <alignment horizontal="center" vertical="center" wrapText="1"/>
    </xf>
    <xf numFmtId="165" fontId="1" fillId="5" borderId="24" xfId="0" applyNumberFormat="1" applyFont="1" applyFill="1" applyBorder="1" applyAlignment="1">
      <alignment horizontal="center" vertical="center" wrapText="1"/>
    </xf>
    <xf numFmtId="0" fontId="1" fillId="3" borderId="23" xfId="0" applyFont="1" applyFill="1" applyBorder="1" applyAlignment="1">
      <alignment horizontal="left" wrapText="1"/>
    </xf>
    <xf numFmtId="0" fontId="29" fillId="3" borderId="23" xfId="0" applyFont="1" applyFill="1" applyBorder="1" applyAlignment="1">
      <alignment wrapText="1"/>
    </xf>
    <xf numFmtId="172" fontId="1" fillId="3" borderId="24" xfId="0" applyNumberFormat="1" applyFont="1" applyFill="1" applyBorder="1"/>
    <xf numFmtId="172" fontId="1" fillId="5" borderId="24" xfId="0" applyNumberFormat="1" applyFont="1" applyFill="1" applyBorder="1"/>
    <xf numFmtId="0" fontId="31" fillId="3" borderId="23" xfId="0" applyFont="1" applyFill="1" applyBorder="1" applyAlignment="1">
      <alignment wrapText="1"/>
    </xf>
    <xf numFmtId="0" fontId="1" fillId="0" borderId="28" xfId="0" applyFont="1" applyBorder="1" applyAlignment="1">
      <alignment horizontal="left"/>
    </xf>
    <xf numFmtId="172" fontId="26" fillId="3" borderId="24" xfId="0" applyNumberFormat="1" applyFont="1" applyFill="1" applyBorder="1"/>
    <xf numFmtId="172" fontId="16" fillId="3" borderId="24" xfId="0" applyNumberFormat="1" applyFont="1" applyFill="1" applyBorder="1"/>
    <xf numFmtId="0" fontId="1" fillId="3" borderId="23" xfId="0" applyFont="1" applyFill="1" applyBorder="1" applyAlignment="1">
      <alignment wrapText="1"/>
    </xf>
    <xf numFmtId="0" fontId="13" fillId="3" borderId="23" xfId="0" applyFont="1" applyFill="1" applyBorder="1" applyAlignment="1">
      <alignment wrapText="1"/>
    </xf>
    <xf numFmtId="172" fontId="1" fillId="3" borderId="23" xfId="0" applyNumberFormat="1" applyFont="1" applyFill="1" applyBorder="1"/>
    <xf numFmtId="0" fontId="1" fillId="3" borderId="23" xfId="0" applyFont="1" applyFill="1" applyBorder="1" applyAlignment="1">
      <alignment horizontal="left"/>
    </xf>
    <xf numFmtId="0" fontId="1" fillId="3" borderId="1" xfId="0" applyFont="1" applyFill="1" applyBorder="1" applyAlignment="1">
      <alignment horizontal="left"/>
    </xf>
    <xf numFmtId="0" fontId="29" fillId="3" borderId="24" xfId="0" applyFont="1" applyFill="1" applyBorder="1" applyAlignment="1">
      <alignment horizontal="left" wrapText="1"/>
    </xf>
    <xf numFmtId="172" fontId="26" fillId="3" borderId="1" xfId="0" applyNumberFormat="1" applyFont="1" applyFill="1" applyBorder="1"/>
    <xf numFmtId="0" fontId="31" fillId="3" borderId="24" xfId="0" applyFont="1" applyFill="1" applyBorder="1" applyAlignment="1">
      <alignment wrapText="1"/>
    </xf>
    <xf numFmtId="0" fontId="39" fillId="3" borderId="23" xfId="0" applyFont="1" applyFill="1" applyBorder="1"/>
    <xf numFmtId="167" fontId="40" fillId="3" borderId="1" xfId="0" applyNumberFormat="1" applyFont="1" applyFill="1" applyBorder="1"/>
    <xf numFmtId="172" fontId="36" fillId="3" borderId="4" xfId="0" applyNumberFormat="1" applyFont="1" applyFill="1" applyBorder="1"/>
    <xf numFmtId="0" fontId="29" fillId="3" borderId="23" xfId="0" applyFont="1" applyFill="1" applyBorder="1"/>
    <xf numFmtId="0" fontId="31" fillId="3" borderId="23" xfId="0" applyFont="1" applyFill="1" applyBorder="1"/>
    <xf numFmtId="175" fontId="1" fillId="3" borderId="24" xfId="0" applyNumberFormat="1" applyFont="1" applyFill="1" applyBorder="1"/>
    <xf numFmtId="165" fontId="1" fillId="8" borderId="24" xfId="0" applyNumberFormat="1" applyFont="1" applyFill="1" applyBorder="1" applyAlignment="1">
      <alignment horizontal="center" vertical="center" wrapText="1"/>
    </xf>
    <xf numFmtId="0" fontId="1" fillId="3" borderId="24" xfId="0" applyFont="1" applyFill="1" applyBorder="1" applyAlignment="1">
      <alignment horizontal="left" wrapText="1"/>
    </xf>
    <xf numFmtId="172" fontId="1" fillId="8" borderId="24" xfId="0" applyNumberFormat="1" applyFont="1" applyFill="1" applyBorder="1"/>
    <xf numFmtId="0" fontId="29" fillId="0" borderId="23" xfId="0" applyFont="1" applyBorder="1" applyAlignment="1">
      <alignment horizontal="left" wrapText="1"/>
    </xf>
    <xf numFmtId="172" fontId="36" fillId="0" borderId="4" xfId="0" applyNumberFormat="1" applyFont="1" applyBorder="1"/>
    <xf numFmtId="0" fontId="1" fillId="0" borderId="23" xfId="0" applyFont="1" applyBorder="1" applyAlignment="1">
      <alignment horizontal="left" wrapText="1"/>
    </xf>
    <xf numFmtId="172" fontId="1" fillId="0" borderId="11" xfId="0" applyNumberFormat="1" applyFont="1" applyBorder="1"/>
    <xf numFmtId="0" fontId="29" fillId="0" borderId="23" xfId="0" applyFont="1" applyBorder="1"/>
    <xf numFmtId="0" fontId="31" fillId="0" borderId="23" xfId="0" applyFont="1" applyBorder="1"/>
    <xf numFmtId="0" fontId="29" fillId="0" borderId="23" xfId="0" applyFont="1" applyBorder="1" applyAlignment="1">
      <alignment horizontal="left"/>
    </xf>
    <xf numFmtId="0" fontId="29" fillId="3" borderId="23" xfId="0" applyFont="1" applyFill="1" applyBorder="1" applyAlignment="1">
      <alignment horizontal="left"/>
    </xf>
    <xf numFmtId="172" fontId="32" fillId="3" borderId="24" xfId="0" applyNumberFormat="1" applyFont="1" applyFill="1" applyBorder="1"/>
    <xf numFmtId="172" fontId="32" fillId="3" borderId="1" xfId="0" applyNumberFormat="1" applyFont="1" applyFill="1" applyBorder="1"/>
    <xf numFmtId="165" fontId="44" fillId="3" borderId="24" xfId="0" applyNumberFormat="1" applyFont="1" applyFill="1" applyBorder="1" applyAlignment="1">
      <alignment horizontal="center" vertical="center" wrapText="1"/>
    </xf>
    <xf numFmtId="0" fontId="46" fillId="0" borderId="28" xfId="0" applyFont="1" applyBorder="1" applyAlignment="1">
      <alignment horizontal="left" wrapText="1"/>
    </xf>
    <xf numFmtId="167" fontId="44" fillId="3" borderId="24" xfId="0" applyNumberFormat="1" applyFont="1" applyFill="1" applyBorder="1"/>
    <xf numFmtId="172" fontId="44" fillId="3" borderId="24" xfId="0" applyNumberFormat="1" applyFont="1" applyFill="1" applyBorder="1"/>
    <xf numFmtId="0" fontId="46" fillId="0" borderId="23" xfId="0" applyFont="1" applyBorder="1" applyAlignment="1">
      <alignment horizontal="left" wrapText="1"/>
    </xf>
    <xf numFmtId="0" fontId="44" fillId="0" borderId="28" xfId="0" applyFont="1" applyBorder="1" applyAlignment="1">
      <alignment horizontal="left" wrapText="1"/>
    </xf>
    <xf numFmtId="172" fontId="44" fillId="0" borderId="10" xfId="0" applyNumberFormat="1" applyFont="1" applyBorder="1"/>
    <xf numFmtId="172" fontId="44" fillId="0" borderId="30" xfId="0" applyNumberFormat="1" applyFont="1" applyBorder="1"/>
    <xf numFmtId="0" fontId="47" fillId="0" borderId="28" xfId="0" applyFont="1" applyBorder="1"/>
    <xf numFmtId="0" fontId="46" fillId="0" borderId="28" xfId="0" applyFont="1" applyBorder="1"/>
    <xf numFmtId="0" fontId="46" fillId="0" borderId="28" xfId="0" applyFont="1" applyBorder="1" applyAlignment="1">
      <alignment horizontal="left"/>
    </xf>
    <xf numFmtId="169" fontId="44" fillId="3" borderId="24" xfId="0" applyNumberFormat="1" applyFont="1" applyFill="1" applyBorder="1"/>
    <xf numFmtId="0" fontId="44" fillId="0" borderId="28" xfId="0" applyFont="1" applyBorder="1" applyAlignment="1">
      <alignment horizontal="left"/>
    </xf>
    <xf numFmtId="0" fontId="46" fillId="13" borderId="28" xfId="0" applyFont="1" applyFill="1" applyBorder="1" applyAlignment="1">
      <alignment horizontal="left"/>
    </xf>
    <xf numFmtId="0" fontId="48" fillId="3" borderId="1" xfId="0" applyFont="1" applyFill="1" applyBorder="1"/>
    <xf numFmtId="167" fontId="44" fillId="3" borderId="1" xfId="0" applyNumberFormat="1" applyFont="1" applyFill="1" applyBorder="1"/>
    <xf numFmtId="0" fontId="44" fillId="3" borderId="1" xfId="0" applyFont="1" applyFill="1" applyBorder="1"/>
    <xf numFmtId="172" fontId="44" fillId="3" borderId="1" xfId="0" applyNumberFormat="1" applyFont="1" applyFill="1" applyBorder="1"/>
    <xf numFmtId="0" fontId="44" fillId="0" borderId="35" xfId="0" applyFont="1" applyBorder="1" applyAlignment="1">
      <alignment horizontal="left"/>
    </xf>
    <xf numFmtId="9" fontId="23" fillId="8" borderId="1" xfId="0" applyNumberFormat="1" applyFont="1" applyFill="1" applyBorder="1" applyAlignment="1">
      <alignment horizontal="center"/>
    </xf>
    <xf numFmtId="0" fontId="13" fillId="8" borderId="1" xfId="0" applyFont="1" applyFill="1" applyBorder="1"/>
    <xf numFmtId="167" fontId="13" fillId="8" borderId="1" xfId="0" applyNumberFormat="1" applyFont="1" applyFill="1" applyBorder="1"/>
    <xf numFmtId="167" fontId="1" fillId="3" borderId="24" xfId="0" applyNumberFormat="1" applyFont="1" applyFill="1" applyBorder="1"/>
    <xf numFmtId="167" fontId="1" fillId="3" borderId="1" xfId="0" applyNumberFormat="1" applyFont="1" applyFill="1" applyBorder="1"/>
    <xf numFmtId="172" fontId="1" fillId="3" borderId="1" xfId="0" applyNumberFormat="1" applyFont="1" applyFill="1" applyBorder="1"/>
    <xf numFmtId="0" fontId="1" fillId="0" borderId="35" xfId="0" applyFont="1" applyBorder="1" applyAlignment="1">
      <alignment horizontal="left"/>
    </xf>
    <xf numFmtId="172" fontId="13" fillId="4" borderId="1" xfId="0" applyNumberFormat="1" applyFont="1" applyFill="1" applyBorder="1"/>
    <xf numFmtId="172" fontId="1" fillId="4" borderId="1" xfId="0" applyNumberFormat="1" applyFont="1" applyFill="1" applyBorder="1"/>
    <xf numFmtId="172" fontId="1" fillId="4" borderId="8"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3"/>
  <sheetViews>
    <sheetView tabSelected="1" workbookViewId="0"/>
  </sheetViews>
  <sheetFormatPr defaultColWidth="12.5703125" defaultRowHeight="15" customHeight="1"/>
  <cols>
    <col min="1" max="8" width="11.42578125" customWidth="1"/>
  </cols>
  <sheetData>
    <row r="1" spans="1:8" ht="12.75" customHeight="1">
      <c r="A1" s="236"/>
      <c r="B1" s="236"/>
      <c r="C1" s="236"/>
      <c r="D1" s="236"/>
      <c r="E1" s="236"/>
      <c r="F1" s="236"/>
      <c r="G1" s="236"/>
      <c r="H1" s="236"/>
    </row>
    <row r="2" spans="1:8" ht="12.75" customHeight="1">
      <c r="A2" s="236"/>
      <c r="B2" s="236"/>
      <c r="C2" s="236"/>
      <c r="D2" s="236"/>
      <c r="E2" s="236"/>
      <c r="F2" s="236"/>
      <c r="G2" s="236"/>
      <c r="H2" s="236"/>
    </row>
    <row r="3" spans="1:8" ht="12.75" customHeight="1">
      <c r="A3" s="236"/>
      <c r="B3" s="236"/>
      <c r="C3" s="236"/>
      <c r="D3" s="236"/>
      <c r="E3" s="236"/>
      <c r="F3" s="236"/>
      <c r="G3" s="236"/>
      <c r="H3" s="236"/>
    </row>
    <row r="4" spans="1:8" ht="12.75" customHeight="1">
      <c r="A4" s="236"/>
      <c r="B4" s="236"/>
      <c r="C4" s="236"/>
      <c r="D4" s="236"/>
      <c r="E4" s="236"/>
      <c r="F4" s="236"/>
      <c r="G4" s="236"/>
      <c r="H4" s="236"/>
    </row>
    <row r="5" spans="1:8" ht="12.75" customHeight="1">
      <c r="A5" s="236"/>
      <c r="B5" s="236"/>
      <c r="C5" s="236"/>
      <c r="D5" s="236"/>
      <c r="E5" s="236"/>
      <c r="F5" s="236"/>
      <c r="G5" s="236"/>
      <c r="H5" s="236"/>
    </row>
    <row r="6" spans="1:8" ht="12.75" customHeight="1">
      <c r="A6" s="236"/>
      <c r="B6" s="236"/>
      <c r="C6" s="236"/>
      <c r="D6" s="236"/>
      <c r="E6" s="236"/>
      <c r="F6" s="236"/>
      <c r="G6" s="236"/>
      <c r="H6" s="236"/>
    </row>
    <row r="7" spans="1:8" ht="12.75" customHeight="1">
      <c r="A7" s="236"/>
      <c r="B7" s="236"/>
      <c r="C7" s="236"/>
      <c r="D7" s="236"/>
      <c r="E7" s="236"/>
      <c r="F7" s="236"/>
      <c r="G7" s="236"/>
      <c r="H7" s="236"/>
    </row>
    <row r="8" spans="1:8" ht="12.75" customHeight="1">
      <c r="A8" s="236"/>
      <c r="B8" s="236"/>
      <c r="C8" s="236"/>
      <c r="D8" s="236"/>
      <c r="E8" s="236"/>
      <c r="F8" s="236"/>
      <c r="G8" s="236"/>
      <c r="H8" s="236"/>
    </row>
    <row r="9" spans="1:8" ht="12.75" customHeight="1">
      <c r="A9" s="236"/>
      <c r="B9" s="236"/>
      <c r="C9" s="236"/>
      <c r="D9" s="236"/>
      <c r="E9" s="236"/>
      <c r="F9" s="236"/>
      <c r="G9" s="236"/>
      <c r="H9" s="236"/>
    </row>
    <row r="10" spans="1:8" ht="12.75" customHeight="1">
      <c r="A10" s="236"/>
      <c r="B10" s="236"/>
      <c r="C10" s="237" t="s">
        <v>0</v>
      </c>
      <c r="D10" s="238"/>
      <c r="E10" s="237"/>
      <c r="F10" s="236"/>
      <c r="G10" s="236"/>
      <c r="H10" s="236"/>
    </row>
    <row r="11" spans="1:8" ht="12.75" customHeight="1">
      <c r="A11" s="236"/>
      <c r="B11" s="236"/>
      <c r="C11" s="236"/>
      <c r="D11" s="236"/>
      <c r="E11" s="236"/>
      <c r="F11" s="236"/>
      <c r="G11" s="236"/>
      <c r="H11" s="236"/>
    </row>
    <row r="12" spans="1:8" ht="12.75" customHeight="1">
      <c r="A12" s="236"/>
      <c r="B12" s="236"/>
      <c r="C12" s="236"/>
      <c r="D12" s="236"/>
      <c r="E12" s="236"/>
      <c r="F12" s="236"/>
      <c r="G12" s="236"/>
      <c r="H12" s="236"/>
    </row>
    <row r="13" spans="1:8" ht="12.75" customHeight="1">
      <c r="A13" s="236"/>
      <c r="B13" s="236"/>
      <c r="C13" s="236"/>
      <c r="D13" s="236"/>
      <c r="E13" s="236"/>
      <c r="F13" s="236"/>
      <c r="G13" s="236"/>
      <c r="H13" s="236"/>
    </row>
    <row r="14" spans="1:8" ht="12.75" customHeight="1">
      <c r="A14" s="236"/>
      <c r="B14" s="236"/>
      <c r="C14" s="236"/>
      <c r="D14" s="236"/>
      <c r="E14" s="236"/>
      <c r="F14" s="236"/>
      <c r="G14" s="236"/>
      <c r="H14" s="236"/>
    </row>
    <row r="15" spans="1:8" ht="12.75" customHeight="1">
      <c r="A15" s="236"/>
      <c r="B15" s="236"/>
      <c r="C15" s="236"/>
      <c r="D15" s="236"/>
      <c r="E15" s="236"/>
      <c r="F15" s="236"/>
      <c r="G15" s="236"/>
      <c r="H15" s="236"/>
    </row>
    <row r="16" spans="1:8" ht="12.75" customHeight="1">
      <c r="A16" s="236"/>
      <c r="B16" s="236"/>
      <c r="C16" s="236"/>
      <c r="D16" s="236"/>
      <c r="E16" s="236"/>
      <c r="F16" s="236"/>
      <c r="G16" s="236"/>
      <c r="H16" s="236"/>
    </row>
    <row r="17" spans="1:8" ht="46.5" customHeight="1">
      <c r="A17" s="239"/>
      <c r="B17" s="240"/>
      <c r="C17" s="240"/>
      <c r="D17" s="240"/>
      <c r="E17" s="240"/>
      <c r="F17" s="240"/>
      <c r="G17" s="240"/>
      <c r="H17" s="240"/>
    </row>
    <row r="18" spans="1:8" ht="46.5" customHeight="1">
      <c r="A18" s="240"/>
      <c r="B18" s="240"/>
      <c r="C18" s="240"/>
      <c r="D18" s="240"/>
      <c r="E18" s="240"/>
      <c r="F18" s="240"/>
      <c r="G18" s="240"/>
      <c r="H18" s="240"/>
    </row>
    <row r="19" spans="1:8" ht="12.75" customHeight="1">
      <c r="A19" s="236"/>
      <c r="B19" s="236"/>
      <c r="C19" s="236"/>
      <c r="D19" s="236"/>
      <c r="E19" s="236"/>
      <c r="F19" s="236"/>
      <c r="G19" s="236"/>
      <c r="H19" s="236"/>
    </row>
    <row r="20" spans="1:8" ht="12.75" customHeight="1">
      <c r="A20" s="236"/>
      <c r="B20" s="236"/>
      <c r="C20" s="236"/>
      <c r="D20" s="236"/>
      <c r="E20" s="236"/>
      <c r="F20" s="236"/>
      <c r="G20" s="236"/>
      <c r="H20" s="236"/>
    </row>
    <row r="21" spans="1:8" ht="24.75" customHeight="1">
      <c r="A21" s="241" t="s">
        <v>1</v>
      </c>
      <c r="B21" s="240"/>
      <c r="C21" s="240"/>
      <c r="D21" s="240"/>
      <c r="E21" s="240"/>
      <c r="F21" s="240"/>
      <c r="G21" s="240"/>
      <c r="H21" s="240"/>
    </row>
    <row r="22" spans="1:8" ht="12.75" customHeight="1">
      <c r="A22" s="236"/>
      <c r="B22" s="236"/>
      <c r="C22" s="236"/>
      <c r="D22" s="236"/>
      <c r="E22" s="236"/>
      <c r="F22" s="236"/>
      <c r="G22" s="236"/>
      <c r="H22" s="236"/>
    </row>
    <row r="23" spans="1:8" ht="12.75" customHeight="1">
      <c r="A23" s="236"/>
      <c r="B23" s="236"/>
      <c r="C23" s="236"/>
      <c r="D23" s="236"/>
      <c r="E23" s="236"/>
      <c r="F23" s="236"/>
      <c r="G23" s="236"/>
      <c r="H23" s="236"/>
    </row>
    <row r="24" spans="1:8" ht="18.75" customHeight="1">
      <c r="A24" s="242" t="s">
        <v>2</v>
      </c>
      <c r="B24" s="240"/>
      <c r="C24" s="240"/>
      <c r="D24" s="240"/>
      <c r="E24" s="240"/>
      <c r="F24" s="240"/>
      <c r="G24" s="240"/>
      <c r="H24" s="240"/>
    </row>
    <row r="25" spans="1:8" ht="12.75" customHeight="1">
      <c r="A25" s="236"/>
      <c r="B25" s="236"/>
      <c r="C25" s="236"/>
      <c r="D25" s="236"/>
      <c r="E25" s="236"/>
      <c r="F25" s="236"/>
      <c r="G25" s="236"/>
      <c r="H25" s="236"/>
    </row>
    <row r="26" spans="1:8" ht="12.75" customHeight="1">
      <c r="A26" s="236"/>
      <c r="B26" s="236"/>
      <c r="C26" s="236"/>
      <c r="D26" s="236"/>
      <c r="E26" s="236"/>
      <c r="F26" s="236"/>
      <c r="G26" s="236"/>
      <c r="H26" s="236"/>
    </row>
    <row r="27" spans="1:8" ht="12.75" customHeight="1">
      <c r="A27" s="236"/>
      <c r="B27" s="236"/>
      <c r="C27" s="236"/>
      <c r="D27" s="236"/>
      <c r="E27" s="236"/>
      <c r="F27" s="236"/>
      <c r="G27" s="236"/>
      <c r="H27" s="236"/>
    </row>
    <row r="28" spans="1:8" ht="27.75" customHeight="1">
      <c r="A28" s="243" t="s">
        <v>3</v>
      </c>
      <c r="B28" s="240"/>
      <c r="C28" s="240"/>
      <c r="D28" s="240"/>
      <c r="E28" s="240"/>
      <c r="F28" s="240"/>
      <c r="G28" s="240"/>
      <c r="H28" s="240"/>
    </row>
    <row r="29" spans="1:8" ht="27.75" customHeight="1">
      <c r="A29" s="244"/>
      <c r="B29" s="240"/>
      <c r="C29" s="240"/>
      <c r="D29" s="240"/>
      <c r="E29" s="240"/>
      <c r="F29" s="240"/>
      <c r="G29" s="240"/>
      <c r="H29" s="240"/>
    </row>
    <row r="30" spans="1:8" ht="12.75" customHeight="1">
      <c r="A30" s="236"/>
      <c r="B30" s="236"/>
      <c r="C30" s="236"/>
      <c r="D30" s="236"/>
      <c r="E30" s="236"/>
      <c r="F30" s="236"/>
      <c r="G30" s="236"/>
      <c r="H30" s="236"/>
    </row>
    <row r="31" spans="1:8" ht="22.5" customHeight="1">
      <c r="A31" s="245" t="s">
        <v>4</v>
      </c>
      <c r="B31" s="240"/>
      <c r="C31" s="240"/>
      <c r="D31" s="240"/>
      <c r="E31" s="240"/>
      <c r="F31" s="240"/>
      <c r="G31" s="240"/>
      <c r="H31" s="240"/>
    </row>
    <row r="32" spans="1:8" ht="12.75" customHeight="1">
      <c r="A32" s="246"/>
      <c r="B32" s="240"/>
      <c r="C32" s="240"/>
      <c r="D32" s="240"/>
      <c r="E32" s="240"/>
      <c r="F32" s="240"/>
      <c r="G32" s="240"/>
      <c r="H32" s="240"/>
    </row>
    <row r="33" spans="1:8" ht="12.75" customHeight="1">
      <c r="A33" s="236"/>
      <c r="B33" s="236"/>
      <c r="C33" s="236"/>
      <c r="D33" s="236"/>
      <c r="E33" s="247"/>
      <c r="F33" s="236"/>
      <c r="G33" s="236"/>
      <c r="H33" s="236"/>
    </row>
    <row r="34" spans="1:8" ht="12.75" customHeight="1">
      <c r="A34" s="236"/>
      <c r="B34" s="236"/>
      <c r="C34" s="236"/>
      <c r="D34" s="236"/>
      <c r="E34" s="236"/>
      <c r="F34" s="236"/>
      <c r="G34" s="236"/>
      <c r="H34" s="236"/>
    </row>
    <row r="35" spans="1:8" ht="12.75" customHeight="1">
      <c r="A35" s="236"/>
      <c r="B35" s="236"/>
      <c r="C35" s="236"/>
      <c r="D35" s="236"/>
      <c r="E35" s="236"/>
      <c r="F35" s="236"/>
      <c r="G35" s="236"/>
      <c r="H35" s="236"/>
    </row>
    <row r="36" spans="1:8" ht="12.75" customHeight="1">
      <c r="A36" s="236"/>
      <c r="B36" s="236"/>
      <c r="C36" s="236"/>
      <c r="D36" s="236"/>
      <c r="E36" s="236"/>
      <c r="F36" s="236"/>
      <c r="G36" s="236"/>
      <c r="H36" s="236"/>
    </row>
    <row r="37" spans="1:8" ht="12.75" customHeight="1">
      <c r="A37" s="236"/>
      <c r="B37" s="236"/>
      <c r="C37" s="236"/>
      <c r="D37" s="236"/>
      <c r="E37" s="236"/>
      <c r="F37" s="236"/>
      <c r="G37" s="236"/>
      <c r="H37" s="236"/>
    </row>
    <row r="38" spans="1:8" ht="12.75" customHeight="1">
      <c r="A38" s="236"/>
      <c r="B38" s="236"/>
      <c r="C38" s="236"/>
      <c r="D38" s="236"/>
      <c r="E38" s="236"/>
      <c r="F38" s="236"/>
      <c r="G38" s="236"/>
      <c r="H38" s="236"/>
    </row>
    <row r="39" spans="1:8" ht="12.75" customHeight="1">
      <c r="A39" s="236"/>
      <c r="B39" s="236"/>
      <c r="C39" s="236"/>
      <c r="D39" s="236"/>
      <c r="E39" s="236"/>
      <c r="F39" s="236"/>
      <c r="G39" s="236"/>
      <c r="H39" s="236"/>
    </row>
    <row r="40" spans="1:8" ht="12.75" customHeight="1">
      <c r="A40" s="236"/>
      <c r="B40" s="236"/>
      <c r="C40" s="236"/>
      <c r="D40" s="236"/>
      <c r="E40" s="236"/>
      <c r="F40" s="236"/>
      <c r="G40" s="236"/>
      <c r="H40" s="236"/>
    </row>
    <row r="41" spans="1:8" ht="12.75" customHeight="1">
      <c r="A41" s="236"/>
      <c r="B41" s="236"/>
      <c r="C41" s="236"/>
      <c r="D41" s="236"/>
      <c r="E41" s="236"/>
      <c r="F41" s="236"/>
      <c r="G41" s="236"/>
      <c r="H41" s="236"/>
    </row>
    <row r="42" spans="1:8" ht="12.75" customHeight="1">
      <c r="A42" s="236"/>
      <c r="B42" s="236"/>
      <c r="C42" s="236"/>
      <c r="D42" s="236"/>
      <c r="E42" s="236"/>
      <c r="F42" s="236"/>
      <c r="G42" s="236"/>
      <c r="H42" s="236"/>
    </row>
    <row r="43" spans="1:8" ht="12.75" customHeight="1">
      <c r="A43" s="236"/>
      <c r="B43" s="236"/>
      <c r="C43" s="236"/>
      <c r="D43" s="236"/>
      <c r="E43" s="236"/>
      <c r="F43" s="236"/>
      <c r="G43" s="236"/>
      <c r="H43" s="236"/>
    </row>
  </sheetData>
  <mergeCells count="7">
    <mergeCell ref="A31:H31"/>
    <mergeCell ref="A32:H32"/>
    <mergeCell ref="A17:H18"/>
    <mergeCell ref="A21:H21"/>
    <mergeCell ref="A24:H24"/>
    <mergeCell ref="A28:H28"/>
    <mergeCell ref="A29:H29"/>
  </mergeCells>
  <pageMargins left="0.25" right="0.25" top="0.75" bottom="0.75" header="0" footer="0"/>
  <pageSetup fitToHeight="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1000"/>
  <sheetViews>
    <sheetView workbookViewId="0"/>
  </sheetViews>
  <sheetFormatPr defaultColWidth="12.5703125" defaultRowHeight="15" customHeight="1"/>
  <cols>
    <col min="1" max="1" width="37.140625" customWidth="1"/>
    <col min="2" max="5" width="15.85546875" customWidth="1"/>
    <col min="6" max="6" width="11.42578125" customWidth="1"/>
    <col min="7" max="7" width="12" customWidth="1"/>
    <col min="8" max="25" width="8.5703125" customWidth="1"/>
  </cols>
  <sheetData>
    <row r="1" spans="1:25" ht="12.75" customHeight="1">
      <c r="A1" s="109">
        <f>'Page 3-Assumptions'!A1</f>
        <v>0</v>
      </c>
      <c r="B1" s="110"/>
      <c r="C1" s="110"/>
      <c r="D1" s="110"/>
      <c r="E1" s="111"/>
      <c r="F1" s="4"/>
      <c r="G1" s="4"/>
      <c r="H1" s="4"/>
      <c r="I1" s="4"/>
      <c r="J1" s="4"/>
      <c r="K1" s="4"/>
      <c r="L1" s="4"/>
      <c r="M1" s="4"/>
      <c r="N1" s="4"/>
      <c r="O1" s="4"/>
      <c r="P1" s="4"/>
      <c r="Q1" s="4"/>
      <c r="R1" s="4"/>
      <c r="S1" s="4"/>
      <c r="T1" s="4"/>
      <c r="U1" s="4"/>
      <c r="V1" s="4"/>
      <c r="W1" s="4"/>
      <c r="X1" s="4"/>
      <c r="Y1" s="4"/>
    </row>
    <row r="2" spans="1:25" ht="18.600000000000001">
      <c r="A2" s="321" t="str">
        <f>B3</f>
        <v>YEAR 5</v>
      </c>
      <c r="B2" s="258"/>
      <c r="C2" s="258"/>
      <c r="D2" s="258"/>
      <c r="E2" s="27"/>
      <c r="F2" s="4"/>
      <c r="G2" s="4"/>
      <c r="H2" s="4"/>
      <c r="I2" s="4"/>
      <c r="J2" s="4"/>
      <c r="K2" s="4"/>
      <c r="L2" s="4"/>
      <c r="M2" s="4"/>
      <c r="N2" s="4"/>
      <c r="O2" s="4"/>
      <c r="P2" s="4"/>
      <c r="Q2" s="4"/>
      <c r="R2" s="4"/>
      <c r="S2" s="4"/>
      <c r="T2" s="4"/>
      <c r="U2" s="4"/>
      <c r="V2" s="4"/>
      <c r="W2" s="4"/>
      <c r="X2" s="4"/>
      <c r="Y2" s="4"/>
    </row>
    <row r="3" spans="1:25" ht="12.75" customHeight="1">
      <c r="A3" s="322"/>
      <c r="B3" s="323" t="str">
        <f>'Page 10-6 yr Budget-detail'!G4</f>
        <v>YEAR 5</v>
      </c>
      <c r="C3" s="252"/>
      <c r="D3" s="252"/>
      <c r="E3" s="253"/>
      <c r="F3" s="112"/>
      <c r="G3" s="112"/>
      <c r="H3" s="112"/>
      <c r="I3" s="112"/>
      <c r="J3" s="112"/>
      <c r="K3" s="112"/>
      <c r="L3" s="112"/>
      <c r="M3" s="112"/>
      <c r="N3" s="112"/>
      <c r="O3" s="112"/>
      <c r="P3" s="112"/>
      <c r="Q3" s="112"/>
      <c r="R3" s="112"/>
      <c r="S3" s="112"/>
      <c r="T3" s="112"/>
      <c r="U3" s="112"/>
      <c r="V3" s="112"/>
      <c r="W3" s="112"/>
      <c r="X3" s="112"/>
      <c r="Y3" s="112"/>
    </row>
    <row r="4" spans="1:25" ht="12.75" customHeight="1">
      <c r="A4" s="256"/>
      <c r="B4" s="113" t="s">
        <v>153</v>
      </c>
      <c r="C4" s="113" t="s">
        <v>154</v>
      </c>
      <c r="D4" s="113" t="s">
        <v>231</v>
      </c>
      <c r="E4" s="113" t="s">
        <v>148</v>
      </c>
      <c r="F4" s="112"/>
      <c r="G4" s="112"/>
      <c r="H4" s="112"/>
      <c r="I4" s="112"/>
      <c r="J4" s="112"/>
      <c r="K4" s="112"/>
      <c r="L4" s="112"/>
      <c r="M4" s="112"/>
      <c r="N4" s="112"/>
      <c r="O4" s="112"/>
      <c r="P4" s="112"/>
      <c r="Q4" s="112"/>
      <c r="R4" s="112"/>
      <c r="S4" s="112"/>
      <c r="T4" s="112"/>
      <c r="U4" s="112"/>
      <c r="V4" s="112"/>
      <c r="W4" s="112"/>
      <c r="X4" s="112"/>
      <c r="Y4" s="112"/>
    </row>
    <row r="5" spans="1:25" ht="12.75" customHeight="1">
      <c r="A5" s="324" t="s">
        <v>155</v>
      </c>
      <c r="B5" s="325"/>
      <c r="C5" s="325"/>
      <c r="D5" s="325"/>
      <c r="E5" s="139">
        <f>'Page 1-Enrollment Plan'!F21</f>
        <v>192</v>
      </c>
      <c r="F5" s="112"/>
      <c r="G5" s="112"/>
      <c r="H5" s="112"/>
      <c r="I5" s="112"/>
      <c r="J5" s="112"/>
      <c r="K5" s="112"/>
      <c r="L5" s="112"/>
      <c r="M5" s="112"/>
      <c r="N5" s="112"/>
      <c r="O5" s="112"/>
      <c r="P5" s="112"/>
      <c r="Q5" s="112"/>
      <c r="R5" s="112"/>
      <c r="S5" s="112"/>
      <c r="T5" s="112"/>
      <c r="U5" s="112"/>
      <c r="V5" s="112"/>
      <c r="W5" s="112"/>
      <c r="X5" s="112"/>
      <c r="Y5" s="112"/>
    </row>
    <row r="6" spans="1:25" ht="12.75" customHeight="1">
      <c r="A6" s="324" t="s">
        <v>156</v>
      </c>
      <c r="B6" s="325"/>
      <c r="C6" s="325"/>
      <c r="D6" s="325"/>
      <c r="E6" s="140">
        <f>'Page 1-Enrollment Plan'!F23</f>
        <v>132</v>
      </c>
      <c r="F6" s="112"/>
      <c r="G6" s="112"/>
      <c r="H6" s="112"/>
      <c r="I6" s="112"/>
      <c r="J6" s="112"/>
      <c r="K6" s="112"/>
      <c r="L6" s="112"/>
      <c r="M6" s="112"/>
      <c r="N6" s="112"/>
      <c r="O6" s="112"/>
      <c r="P6" s="112"/>
      <c r="Q6" s="112"/>
      <c r="R6" s="112"/>
      <c r="S6" s="112"/>
      <c r="T6" s="112"/>
      <c r="U6" s="112"/>
      <c r="V6" s="112"/>
      <c r="W6" s="112"/>
      <c r="X6" s="112"/>
      <c r="Y6" s="112"/>
    </row>
    <row r="7" spans="1:25" ht="12.75" customHeight="1">
      <c r="A7" s="256" t="s">
        <v>53</v>
      </c>
      <c r="B7" s="325"/>
      <c r="C7" s="325"/>
      <c r="D7" s="325"/>
      <c r="E7" s="326"/>
      <c r="F7" s="112"/>
      <c r="G7" s="112"/>
      <c r="H7" s="112"/>
      <c r="I7" s="112"/>
      <c r="J7" s="112"/>
      <c r="K7" s="112"/>
      <c r="L7" s="112"/>
      <c r="M7" s="112"/>
      <c r="N7" s="112"/>
      <c r="O7" s="112"/>
      <c r="P7" s="112"/>
      <c r="Q7" s="112"/>
      <c r="R7" s="112"/>
      <c r="S7" s="112"/>
      <c r="T7" s="112"/>
      <c r="U7" s="112"/>
      <c r="V7" s="112"/>
      <c r="W7" s="112"/>
      <c r="X7" s="112"/>
      <c r="Y7" s="112"/>
    </row>
    <row r="8" spans="1:25" ht="39.75" customHeight="1">
      <c r="A8" s="141" t="s">
        <v>157</v>
      </c>
      <c r="B8" s="116">
        <v>0</v>
      </c>
      <c r="C8" s="116"/>
      <c r="D8" s="126"/>
      <c r="E8" s="118">
        <f t="shared" ref="E8:E29" si="0">SUM(B8:D8)</f>
        <v>0</v>
      </c>
      <c r="F8" s="4"/>
      <c r="G8" s="4"/>
      <c r="H8" s="4"/>
      <c r="I8" s="4"/>
      <c r="J8" s="4"/>
      <c r="K8" s="4"/>
      <c r="L8" s="4"/>
      <c r="M8" s="4"/>
      <c r="N8" s="4"/>
      <c r="O8" s="4"/>
      <c r="P8" s="4"/>
      <c r="Q8" s="4"/>
      <c r="R8" s="4"/>
      <c r="S8" s="4"/>
      <c r="T8" s="4"/>
      <c r="U8" s="4"/>
      <c r="V8" s="4"/>
      <c r="W8" s="4"/>
      <c r="X8" s="4"/>
      <c r="Y8" s="4"/>
    </row>
    <row r="9" spans="1:25" ht="12.75" customHeight="1">
      <c r="A9" s="141" t="s">
        <v>158</v>
      </c>
      <c r="B9" s="345">
        <v>317018.84999999998</v>
      </c>
      <c r="C9" s="119">
        <v>0</v>
      </c>
      <c r="D9" s="119">
        <v>0</v>
      </c>
      <c r="E9" s="118">
        <f t="shared" si="0"/>
        <v>317018.84999999998</v>
      </c>
      <c r="F9" s="4"/>
      <c r="G9" s="4"/>
      <c r="H9" s="4"/>
      <c r="I9" s="4"/>
      <c r="J9" s="4"/>
      <c r="K9" s="4"/>
      <c r="L9" s="4"/>
      <c r="M9" s="4"/>
      <c r="N9" s="4"/>
      <c r="O9" s="4"/>
      <c r="P9" s="4"/>
      <c r="Q9" s="4"/>
      <c r="R9" s="4"/>
      <c r="S9" s="4"/>
      <c r="T9" s="4"/>
      <c r="U9" s="4"/>
      <c r="V9" s="4"/>
      <c r="W9" s="4"/>
      <c r="X9" s="4"/>
      <c r="Y9" s="4"/>
    </row>
    <row r="10" spans="1:25" ht="12.75" customHeight="1">
      <c r="A10" s="141" t="s">
        <v>159</v>
      </c>
      <c r="B10" s="116"/>
      <c r="C10" s="126"/>
      <c r="D10" s="126"/>
      <c r="E10" s="118">
        <f t="shared" si="0"/>
        <v>0</v>
      </c>
      <c r="F10" s="4"/>
      <c r="G10" s="4"/>
      <c r="H10" s="4"/>
      <c r="I10" s="4"/>
      <c r="J10" s="4"/>
      <c r="K10" s="4"/>
      <c r="L10" s="4"/>
      <c r="M10" s="4"/>
      <c r="N10" s="4"/>
      <c r="O10" s="4"/>
      <c r="P10" s="4"/>
      <c r="Q10" s="4"/>
      <c r="R10" s="4"/>
      <c r="S10" s="4"/>
      <c r="T10" s="4"/>
      <c r="U10" s="4"/>
      <c r="V10" s="4"/>
      <c r="W10" s="4"/>
      <c r="X10" s="4"/>
      <c r="Y10" s="4"/>
    </row>
    <row r="11" spans="1:25" ht="12.75" customHeight="1">
      <c r="A11" s="141" t="s">
        <v>160</v>
      </c>
      <c r="B11" s="120"/>
      <c r="C11" s="126"/>
      <c r="D11" s="126"/>
      <c r="E11" s="118">
        <f t="shared" si="0"/>
        <v>0</v>
      </c>
      <c r="F11" s="4"/>
      <c r="G11" s="4"/>
      <c r="H11" s="4"/>
      <c r="I11" s="4"/>
      <c r="J11" s="4"/>
      <c r="K11" s="4"/>
      <c r="L11" s="4"/>
      <c r="M11" s="4"/>
      <c r="N11" s="4"/>
      <c r="O11" s="4"/>
      <c r="P11" s="4"/>
      <c r="Q11" s="4"/>
      <c r="R11" s="4"/>
      <c r="S11" s="4"/>
      <c r="T11" s="4"/>
      <c r="U11" s="4"/>
      <c r="V11" s="4"/>
      <c r="W11" s="4"/>
      <c r="X11" s="4"/>
      <c r="Y11" s="4"/>
    </row>
    <row r="12" spans="1:25" ht="12.75" customHeight="1">
      <c r="A12" s="141" t="s">
        <v>161</v>
      </c>
      <c r="B12" s="143">
        <f>1600*'Page 3-Assumptions'!F70</f>
        <v>101376</v>
      </c>
      <c r="C12" s="126"/>
      <c r="D12" s="126"/>
      <c r="E12" s="118">
        <f t="shared" si="0"/>
        <v>101376</v>
      </c>
      <c r="F12" s="4"/>
      <c r="G12" s="4"/>
      <c r="H12" s="4"/>
      <c r="I12" s="4"/>
      <c r="J12" s="4"/>
      <c r="K12" s="4"/>
      <c r="L12" s="4"/>
      <c r="M12" s="4"/>
      <c r="N12" s="4"/>
      <c r="O12" s="4"/>
      <c r="P12" s="4"/>
      <c r="Q12" s="4"/>
      <c r="R12" s="4"/>
      <c r="S12" s="4"/>
      <c r="T12" s="4"/>
      <c r="U12" s="4"/>
      <c r="V12" s="4"/>
      <c r="W12" s="4"/>
      <c r="X12" s="4"/>
      <c r="Y12" s="4"/>
    </row>
    <row r="13" spans="1:25" ht="12.75" customHeight="1">
      <c r="A13" s="141" t="s">
        <v>162</v>
      </c>
      <c r="B13" s="143">
        <f>2500*'Page 3-Assumptions'!F72</f>
        <v>240000</v>
      </c>
      <c r="C13" s="126"/>
      <c r="D13" s="126"/>
      <c r="E13" s="118">
        <f t="shared" si="0"/>
        <v>240000</v>
      </c>
      <c r="F13" s="4"/>
      <c r="G13" s="4"/>
      <c r="H13" s="4"/>
      <c r="I13" s="4"/>
      <c r="J13" s="4"/>
      <c r="K13" s="4"/>
      <c r="L13" s="4"/>
      <c r="M13" s="4"/>
      <c r="N13" s="4"/>
      <c r="O13" s="4"/>
      <c r="P13" s="4"/>
      <c r="Q13" s="4"/>
      <c r="R13" s="4"/>
      <c r="S13" s="4"/>
      <c r="T13" s="4"/>
      <c r="U13" s="4"/>
      <c r="V13" s="4"/>
      <c r="W13" s="4"/>
      <c r="X13" s="4"/>
      <c r="Y13" s="4"/>
    </row>
    <row r="14" spans="1:25" ht="12.75" customHeight="1">
      <c r="A14" s="327" t="s">
        <v>163</v>
      </c>
      <c r="B14" s="116"/>
      <c r="C14" s="126"/>
      <c r="D14" s="126"/>
      <c r="E14" s="118">
        <f t="shared" si="0"/>
        <v>0</v>
      </c>
      <c r="F14" s="4"/>
      <c r="G14" s="4"/>
      <c r="H14" s="4"/>
      <c r="I14" s="4"/>
      <c r="J14" s="4"/>
      <c r="K14" s="4"/>
      <c r="L14" s="4"/>
      <c r="M14" s="4"/>
      <c r="N14" s="4"/>
      <c r="O14" s="4"/>
      <c r="P14" s="4"/>
      <c r="Q14" s="4"/>
      <c r="R14" s="4"/>
      <c r="S14" s="4"/>
      <c r="T14" s="4"/>
      <c r="U14" s="4"/>
      <c r="V14" s="4"/>
      <c r="W14" s="4"/>
      <c r="X14" s="4"/>
      <c r="Y14" s="4"/>
    </row>
    <row r="15" spans="1:25" ht="12.75" customHeight="1">
      <c r="A15" s="327" t="s">
        <v>164</v>
      </c>
      <c r="B15" s="119">
        <f>E6*'Page 3-Assumptions'!G8</f>
        <v>38039.601996000005</v>
      </c>
      <c r="C15" s="119">
        <v>0</v>
      </c>
      <c r="D15" s="119">
        <v>0</v>
      </c>
      <c r="E15" s="118">
        <f t="shared" si="0"/>
        <v>38039.601996000005</v>
      </c>
      <c r="F15" s="4"/>
      <c r="G15" s="4"/>
      <c r="H15" s="4"/>
      <c r="I15" s="4"/>
      <c r="J15" s="4"/>
      <c r="K15" s="4"/>
      <c r="L15" s="4"/>
      <c r="M15" s="4"/>
      <c r="N15" s="4"/>
      <c r="O15" s="4"/>
      <c r="P15" s="4"/>
      <c r="Q15" s="4"/>
      <c r="R15" s="4"/>
      <c r="S15" s="4"/>
      <c r="T15" s="4"/>
      <c r="U15" s="4"/>
      <c r="V15" s="4"/>
      <c r="W15" s="4"/>
      <c r="X15" s="4"/>
      <c r="Y15" s="4"/>
    </row>
    <row r="16" spans="1:25" ht="12.75" customHeight="1">
      <c r="A16" s="327" t="s">
        <v>166</v>
      </c>
      <c r="B16" s="119">
        <f>'Page 3-Assumptions'!G9</f>
        <v>20944</v>
      </c>
      <c r="C16" s="119">
        <v>0</v>
      </c>
      <c r="D16" s="119">
        <v>0</v>
      </c>
      <c r="E16" s="118">
        <f t="shared" si="0"/>
        <v>20944</v>
      </c>
      <c r="F16" s="4"/>
      <c r="G16" s="4"/>
      <c r="H16" s="4"/>
      <c r="I16" s="4"/>
      <c r="J16" s="4"/>
      <c r="K16" s="4"/>
      <c r="L16" s="4"/>
      <c r="M16" s="4"/>
      <c r="N16" s="4"/>
      <c r="O16" s="4"/>
      <c r="P16" s="4"/>
      <c r="Q16" s="4"/>
      <c r="R16" s="4"/>
      <c r="S16" s="4"/>
      <c r="T16" s="4"/>
      <c r="U16" s="4"/>
      <c r="V16" s="4"/>
      <c r="W16" s="4"/>
      <c r="X16" s="4"/>
      <c r="Y16" s="4"/>
    </row>
    <row r="17" spans="1:25" ht="12.75" customHeight="1">
      <c r="A17" s="141" t="s">
        <v>74</v>
      </c>
      <c r="B17" s="119">
        <v>0</v>
      </c>
      <c r="C17" s="119">
        <f>'Page 3-Assumptions'!$G$11</f>
        <v>2417.7599999999998</v>
      </c>
      <c r="D17" s="119">
        <v>0</v>
      </c>
      <c r="E17" s="118">
        <f t="shared" si="0"/>
        <v>2417.7599999999998</v>
      </c>
      <c r="F17" s="4"/>
      <c r="G17" s="4"/>
      <c r="H17" s="4"/>
      <c r="I17" s="4"/>
      <c r="J17" s="4"/>
      <c r="K17" s="4"/>
      <c r="L17" s="4"/>
      <c r="M17" s="4"/>
      <c r="N17" s="4"/>
      <c r="O17" s="4"/>
      <c r="P17" s="4"/>
      <c r="Q17" s="4"/>
      <c r="R17" s="4"/>
      <c r="S17" s="4"/>
      <c r="T17" s="4"/>
      <c r="U17" s="4"/>
      <c r="V17" s="4"/>
      <c r="W17" s="4"/>
      <c r="X17" s="4"/>
      <c r="Y17" s="4"/>
    </row>
    <row r="18" spans="1:25" ht="12.75" customHeight="1">
      <c r="A18" s="141" t="s">
        <v>80</v>
      </c>
      <c r="B18" s="119">
        <f>'Page 3-Assumptions'!G14</f>
        <v>500</v>
      </c>
      <c r="C18" s="119">
        <v>0</v>
      </c>
      <c r="D18" s="119">
        <v>0</v>
      </c>
      <c r="E18" s="118">
        <f t="shared" si="0"/>
        <v>500</v>
      </c>
      <c r="F18" s="4"/>
      <c r="G18" s="4"/>
      <c r="H18" s="4"/>
      <c r="I18" s="4"/>
      <c r="J18" s="4"/>
      <c r="K18" s="4"/>
      <c r="L18" s="4"/>
      <c r="M18" s="4"/>
      <c r="N18" s="4"/>
      <c r="O18" s="4"/>
      <c r="P18" s="4"/>
      <c r="Q18" s="4"/>
      <c r="R18" s="4"/>
      <c r="S18" s="4"/>
      <c r="T18" s="4"/>
      <c r="U18" s="4"/>
      <c r="V18" s="4"/>
      <c r="W18" s="4"/>
      <c r="X18" s="4"/>
      <c r="Y18" s="4"/>
    </row>
    <row r="19" spans="1:25" ht="12.75" customHeight="1">
      <c r="A19" s="141" t="s">
        <v>168</v>
      </c>
      <c r="B19" s="117"/>
      <c r="C19" s="126"/>
      <c r="D19" s="126"/>
      <c r="E19" s="118">
        <f t="shared" si="0"/>
        <v>0</v>
      </c>
      <c r="F19" s="4"/>
      <c r="G19" s="4"/>
      <c r="H19" s="4"/>
      <c r="I19" s="4"/>
      <c r="J19" s="4"/>
      <c r="K19" s="4"/>
      <c r="L19" s="4"/>
      <c r="M19" s="4"/>
      <c r="N19" s="4"/>
      <c r="O19" s="4"/>
      <c r="P19" s="4"/>
      <c r="Q19" s="4"/>
      <c r="R19" s="4"/>
      <c r="S19" s="4"/>
      <c r="T19" s="4"/>
      <c r="U19" s="4"/>
      <c r="V19" s="4"/>
      <c r="W19" s="4"/>
      <c r="X19" s="4"/>
      <c r="Y19" s="4"/>
    </row>
    <row r="20" spans="1:25" ht="12.75" customHeight="1">
      <c r="A20" s="141" t="s">
        <v>82</v>
      </c>
      <c r="B20" s="119">
        <f>'Page 3-Assumptions'!G16</f>
        <v>13917.68</v>
      </c>
      <c r="C20" s="119">
        <v>0</v>
      </c>
      <c r="D20" s="119">
        <v>0</v>
      </c>
      <c r="E20" s="118">
        <f t="shared" si="0"/>
        <v>13917.68</v>
      </c>
      <c r="F20" s="4"/>
      <c r="G20" s="4"/>
      <c r="H20" s="4"/>
      <c r="I20" s="4"/>
      <c r="J20" s="4"/>
      <c r="K20" s="4"/>
      <c r="L20" s="4"/>
      <c r="M20" s="4"/>
      <c r="N20" s="4"/>
      <c r="O20" s="4"/>
      <c r="P20" s="4"/>
      <c r="Q20" s="4"/>
      <c r="R20" s="4"/>
      <c r="S20" s="4"/>
      <c r="T20" s="4"/>
      <c r="U20" s="4"/>
      <c r="V20" s="4"/>
      <c r="W20" s="4"/>
      <c r="X20" s="4"/>
      <c r="Y20" s="4"/>
    </row>
    <row r="21" spans="1:25" ht="12.75" customHeight="1">
      <c r="A21" s="141" t="s">
        <v>88</v>
      </c>
      <c r="B21" s="119">
        <f>'Page 3-Assumptions'!G18</f>
        <v>105600</v>
      </c>
      <c r="C21" s="119">
        <v>0</v>
      </c>
      <c r="D21" s="119">
        <v>0</v>
      </c>
      <c r="E21" s="118">
        <f t="shared" si="0"/>
        <v>105600</v>
      </c>
      <c r="F21" s="4"/>
      <c r="G21" s="4"/>
      <c r="H21" s="4"/>
      <c r="I21" s="4"/>
      <c r="J21" s="4"/>
      <c r="K21" s="4"/>
      <c r="L21" s="4"/>
      <c r="M21" s="4"/>
      <c r="N21" s="4"/>
      <c r="O21" s="4"/>
      <c r="P21" s="4"/>
      <c r="Q21" s="4"/>
      <c r="R21" s="4"/>
      <c r="S21" s="4"/>
      <c r="T21" s="4"/>
      <c r="U21" s="4"/>
      <c r="V21" s="4"/>
      <c r="W21" s="4"/>
      <c r="X21" s="4"/>
      <c r="Y21" s="4"/>
    </row>
    <row r="22" spans="1:25" ht="12.75" customHeight="1">
      <c r="A22" s="141" t="s">
        <v>90</v>
      </c>
      <c r="B22" s="119">
        <v>0</v>
      </c>
      <c r="C22" s="119">
        <f>'Page 3-Assumptions'!$G$19</f>
        <v>29541.600000000002</v>
      </c>
      <c r="D22" s="119">
        <v>0</v>
      </c>
      <c r="E22" s="118">
        <f t="shared" si="0"/>
        <v>29541.600000000002</v>
      </c>
      <c r="F22" s="4"/>
      <c r="G22" s="4"/>
      <c r="H22" s="4"/>
      <c r="I22" s="4"/>
      <c r="J22" s="4"/>
      <c r="K22" s="4"/>
      <c r="L22" s="4"/>
      <c r="M22" s="4"/>
      <c r="N22" s="4"/>
      <c r="O22" s="4"/>
      <c r="P22" s="4"/>
      <c r="Q22" s="4"/>
      <c r="R22" s="4"/>
      <c r="S22" s="4"/>
      <c r="T22" s="4"/>
      <c r="U22" s="4"/>
      <c r="V22" s="4"/>
      <c r="W22" s="4"/>
      <c r="X22" s="4"/>
      <c r="Y22" s="4"/>
    </row>
    <row r="23" spans="1:25" ht="12.75" customHeight="1">
      <c r="A23" s="141" t="s">
        <v>169</v>
      </c>
      <c r="B23" s="119">
        <v>0</v>
      </c>
      <c r="C23" s="119">
        <f>'Page 3-Assumptions'!$G$20</f>
        <v>25600</v>
      </c>
      <c r="D23" s="119">
        <v>0</v>
      </c>
      <c r="E23" s="118">
        <f t="shared" si="0"/>
        <v>25600</v>
      </c>
      <c r="F23" s="4"/>
      <c r="G23" s="4"/>
      <c r="H23" s="4"/>
      <c r="I23" s="4"/>
      <c r="J23" s="4"/>
      <c r="K23" s="4"/>
      <c r="L23" s="4"/>
      <c r="M23" s="4"/>
      <c r="N23" s="4"/>
      <c r="O23" s="4"/>
      <c r="P23" s="4"/>
      <c r="Q23" s="4"/>
      <c r="R23" s="4"/>
      <c r="S23" s="4"/>
      <c r="T23" s="4"/>
      <c r="U23" s="4"/>
      <c r="V23" s="4"/>
      <c r="W23" s="4"/>
      <c r="X23" s="4"/>
      <c r="Y23" s="4"/>
    </row>
    <row r="24" spans="1:25" ht="12.75" customHeight="1">
      <c r="A24" s="141" t="s">
        <v>95</v>
      </c>
      <c r="B24" s="119">
        <v>0</v>
      </c>
      <c r="C24" s="119">
        <f>'Page 3-Assumptions'!$G$21</f>
        <v>861.11999999999989</v>
      </c>
      <c r="D24" s="119">
        <v>0</v>
      </c>
      <c r="E24" s="118">
        <f t="shared" si="0"/>
        <v>861.11999999999989</v>
      </c>
      <c r="F24" s="4"/>
      <c r="G24" s="4"/>
      <c r="H24" s="4"/>
      <c r="I24" s="4"/>
      <c r="J24" s="4"/>
      <c r="K24" s="4"/>
      <c r="L24" s="4"/>
      <c r="M24" s="4"/>
      <c r="N24" s="4"/>
      <c r="O24" s="4"/>
      <c r="P24" s="4"/>
      <c r="Q24" s="4"/>
      <c r="R24" s="4"/>
      <c r="S24" s="4"/>
      <c r="T24" s="4"/>
      <c r="U24" s="4"/>
      <c r="V24" s="4"/>
      <c r="W24" s="4"/>
      <c r="X24" s="4"/>
      <c r="Y24" s="4"/>
    </row>
    <row r="25" spans="1:25" ht="12.75" customHeight="1">
      <c r="A25" s="141" t="s">
        <v>170</v>
      </c>
      <c r="B25" s="119"/>
      <c r="C25" s="119">
        <f>'Page 3-Assumptions'!$G$22</f>
        <v>1500</v>
      </c>
      <c r="D25" s="119"/>
      <c r="E25" s="118">
        <f t="shared" si="0"/>
        <v>1500</v>
      </c>
      <c r="F25" s="4"/>
      <c r="G25" s="4"/>
      <c r="H25" s="4"/>
      <c r="I25" s="4"/>
      <c r="J25" s="4"/>
      <c r="K25" s="4"/>
      <c r="L25" s="4"/>
      <c r="M25" s="4"/>
      <c r="N25" s="4"/>
      <c r="O25" s="4"/>
      <c r="P25" s="4"/>
      <c r="Q25" s="4"/>
      <c r="R25" s="4"/>
      <c r="S25" s="4"/>
      <c r="T25" s="4"/>
      <c r="U25" s="4"/>
      <c r="V25" s="4"/>
      <c r="W25" s="4"/>
      <c r="X25" s="4"/>
      <c r="Y25" s="4"/>
    </row>
    <row r="26" spans="1:25" ht="12.75" customHeight="1">
      <c r="A26" s="340" t="s">
        <v>171</v>
      </c>
      <c r="B26" s="116">
        <f>((6.67*'Page 1-Enrollment Plan'!C23*160)*1.02^5)</f>
        <v>89548.90252130304</v>
      </c>
      <c r="C26" s="126"/>
      <c r="D26" s="126"/>
      <c r="E26" s="118">
        <f t="shared" si="0"/>
        <v>89548.90252130304</v>
      </c>
      <c r="F26" s="4"/>
      <c r="G26" s="4"/>
      <c r="H26" s="4"/>
      <c r="I26" s="4"/>
      <c r="J26" s="4"/>
      <c r="K26" s="4"/>
      <c r="L26" s="4"/>
      <c r="M26" s="4"/>
      <c r="N26" s="4"/>
      <c r="O26" s="4"/>
      <c r="P26" s="4"/>
      <c r="Q26" s="4"/>
      <c r="R26" s="4"/>
      <c r="S26" s="4"/>
      <c r="T26" s="4"/>
      <c r="U26" s="4"/>
      <c r="V26" s="4"/>
      <c r="W26" s="4"/>
      <c r="X26" s="4"/>
      <c r="Y26" s="4"/>
    </row>
    <row r="27" spans="1:25" ht="12.75" customHeight="1">
      <c r="A27" s="340" t="s">
        <v>172</v>
      </c>
      <c r="B27" s="116"/>
      <c r="C27" s="126"/>
      <c r="D27" s="126"/>
      <c r="E27" s="118">
        <f t="shared" si="0"/>
        <v>0</v>
      </c>
      <c r="F27" s="4"/>
      <c r="G27" s="4"/>
      <c r="H27" s="4"/>
      <c r="I27" s="4"/>
      <c r="J27" s="4"/>
      <c r="K27" s="4"/>
      <c r="L27" s="4"/>
      <c r="M27" s="4"/>
      <c r="N27" s="4"/>
      <c r="O27" s="4"/>
      <c r="P27" s="4"/>
      <c r="Q27" s="4"/>
      <c r="R27" s="4"/>
      <c r="S27" s="4"/>
      <c r="T27" s="4"/>
      <c r="U27" s="4"/>
      <c r="V27" s="4"/>
      <c r="W27" s="4"/>
      <c r="X27" s="4"/>
      <c r="Y27" s="4"/>
    </row>
    <row r="28" spans="1:25" ht="12.75" customHeight="1">
      <c r="A28" s="340" t="s">
        <v>57</v>
      </c>
      <c r="B28" s="119">
        <f>E6*'Page 3-Assumptions'!G5</f>
        <v>1350044.9754305757</v>
      </c>
      <c r="C28" s="119">
        <v>0</v>
      </c>
      <c r="D28" s="119">
        <v>0</v>
      </c>
      <c r="E28" s="118">
        <f t="shared" si="0"/>
        <v>1350044.9754305757</v>
      </c>
      <c r="F28" s="4"/>
      <c r="G28" s="4"/>
      <c r="H28" s="4"/>
      <c r="I28" s="4"/>
      <c r="J28" s="4"/>
      <c r="K28" s="4"/>
      <c r="L28" s="4"/>
      <c r="M28" s="4"/>
      <c r="N28" s="4"/>
      <c r="O28" s="4"/>
      <c r="P28" s="4"/>
      <c r="Q28" s="4"/>
      <c r="R28" s="4"/>
      <c r="S28" s="4"/>
      <c r="T28" s="4"/>
      <c r="U28" s="4"/>
      <c r="V28" s="4"/>
      <c r="W28" s="4"/>
      <c r="X28" s="4"/>
      <c r="Y28" s="4"/>
    </row>
    <row r="29" spans="1:25" ht="12.75" customHeight="1">
      <c r="A29" s="141" t="s">
        <v>232</v>
      </c>
      <c r="B29" s="121">
        <v>370285.23</v>
      </c>
      <c r="C29" s="119">
        <v>0</v>
      </c>
      <c r="D29" s="119">
        <v>0</v>
      </c>
      <c r="E29" s="118">
        <f t="shared" si="0"/>
        <v>370285.23</v>
      </c>
      <c r="F29" s="4"/>
      <c r="G29" s="4"/>
      <c r="H29" s="4"/>
      <c r="I29" s="4"/>
      <c r="J29" s="4"/>
      <c r="K29" s="4"/>
      <c r="L29" s="4"/>
      <c r="M29" s="4"/>
      <c r="N29" s="4"/>
      <c r="O29" s="4"/>
      <c r="P29" s="4"/>
      <c r="Q29" s="4"/>
      <c r="R29" s="4"/>
      <c r="S29" s="4"/>
      <c r="T29" s="4"/>
      <c r="U29" s="4"/>
      <c r="V29" s="4"/>
      <c r="W29" s="4"/>
      <c r="X29" s="4"/>
      <c r="Y29" s="4"/>
    </row>
    <row r="30" spans="1:25" ht="12.75" customHeight="1">
      <c r="A30" s="155" t="s">
        <v>174</v>
      </c>
      <c r="B30" s="123">
        <f t="shared" ref="B30:E30" si="1">SUM(B8:B29)</f>
        <v>2647275.2399478788</v>
      </c>
      <c r="C30" s="123">
        <f t="shared" si="1"/>
        <v>59920.480000000003</v>
      </c>
      <c r="D30" s="123">
        <f t="shared" si="1"/>
        <v>0</v>
      </c>
      <c r="E30" s="123">
        <f t="shared" si="1"/>
        <v>2707195.7199478787</v>
      </c>
      <c r="F30" s="4"/>
      <c r="G30" s="4"/>
      <c r="H30" s="4"/>
      <c r="I30" s="4"/>
      <c r="J30" s="4"/>
      <c r="K30" s="4"/>
      <c r="L30" s="4"/>
      <c r="M30" s="4"/>
      <c r="N30" s="4"/>
      <c r="O30" s="4"/>
      <c r="P30" s="4"/>
      <c r="Q30" s="4"/>
      <c r="R30" s="4"/>
      <c r="S30" s="4"/>
      <c r="T30" s="4"/>
      <c r="U30" s="4"/>
      <c r="V30" s="4"/>
      <c r="W30" s="4"/>
      <c r="X30" s="4"/>
      <c r="Y30" s="4"/>
    </row>
    <row r="31" spans="1:25" ht="12.75" customHeight="1">
      <c r="A31" s="346"/>
      <c r="B31" s="329"/>
      <c r="C31" s="329"/>
      <c r="D31" s="329"/>
      <c r="E31" s="330"/>
      <c r="F31" s="4"/>
      <c r="G31" s="4"/>
      <c r="H31" s="4"/>
      <c r="I31" s="4"/>
      <c r="J31" s="4"/>
      <c r="K31" s="4"/>
      <c r="L31" s="4"/>
      <c r="M31" s="4"/>
      <c r="N31" s="4"/>
      <c r="O31" s="4"/>
      <c r="P31" s="4"/>
      <c r="Q31" s="4"/>
      <c r="R31" s="4"/>
      <c r="S31" s="4"/>
      <c r="T31" s="4"/>
      <c r="U31" s="4"/>
      <c r="V31" s="4"/>
      <c r="W31" s="4"/>
      <c r="X31" s="4"/>
      <c r="Y31" s="4"/>
    </row>
    <row r="32" spans="1:25" ht="12.75" customHeight="1">
      <c r="A32" s="347" t="s">
        <v>106</v>
      </c>
      <c r="B32" s="329"/>
      <c r="C32" s="329"/>
      <c r="D32" s="329"/>
      <c r="E32" s="330"/>
      <c r="F32" s="4"/>
      <c r="G32" s="4"/>
      <c r="H32" s="4"/>
      <c r="I32" s="4"/>
      <c r="J32" s="4"/>
      <c r="K32" s="4"/>
      <c r="L32" s="4"/>
      <c r="M32" s="4"/>
      <c r="N32" s="4"/>
      <c r="O32" s="4"/>
      <c r="P32" s="4"/>
      <c r="Q32" s="4"/>
      <c r="R32" s="4"/>
      <c r="S32" s="4"/>
      <c r="T32" s="4"/>
      <c r="U32" s="4"/>
      <c r="V32" s="4"/>
      <c r="W32" s="4"/>
      <c r="X32" s="4"/>
      <c r="Y32" s="4"/>
    </row>
    <row r="33" spans="1:25" ht="12.75" customHeight="1">
      <c r="A33" s="359" t="s">
        <v>175</v>
      </c>
      <c r="B33" s="119">
        <f>'Page 2-Staffing Plan'!G32</f>
        <v>1405525</v>
      </c>
      <c r="C33" s="116"/>
      <c r="D33" s="126"/>
      <c r="E33" s="118">
        <f t="shared" ref="E33:E76" si="2">SUM(B33:D33)</f>
        <v>1405525</v>
      </c>
      <c r="F33" s="4"/>
      <c r="G33" s="4"/>
      <c r="H33" s="4"/>
      <c r="I33" s="4"/>
      <c r="J33" s="4"/>
      <c r="K33" s="4"/>
      <c r="L33" s="4"/>
      <c r="M33" s="4"/>
      <c r="N33" s="4"/>
      <c r="O33" s="4"/>
      <c r="P33" s="4"/>
      <c r="Q33" s="4"/>
      <c r="R33" s="4"/>
      <c r="S33" s="4"/>
      <c r="T33" s="4"/>
      <c r="U33" s="4"/>
      <c r="V33" s="4"/>
      <c r="W33" s="4"/>
      <c r="X33" s="4"/>
      <c r="Y33" s="4"/>
    </row>
    <row r="34" spans="1:25" ht="12.75" customHeight="1">
      <c r="A34" s="359" t="s">
        <v>238</v>
      </c>
      <c r="B34" s="119">
        <f>('Page 3-Assumptions'!B39*'Page 3-Assumptions'!B40)*('Page 2-Staffing Plan'!G15)</f>
        <v>13440</v>
      </c>
      <c r="C34" s="116"/>
      <c r="D34" s="126"/>
      <c r="E34" s="118">
        <f t="shared" si="2"/>
        <v>13440</v>
      </c>
      <c r="F34" s="4"/>
      <c r="G34" s="4"/>
      <c r="H34" s="4"/>
      <c r="I34" s="4"/>
      <c r="J34" s="4"/>
      <c r="K34" s="4"/>
      <c r="L34" s="4"/>
      <c r="M34" s="4"/>
      <c r="N34" s="4"/>
      <c r="O34" s="4"/>
      <c r="P34" s="4"/>
      <c r="Q34" s="4"/>
      <c r="R34" s="4"/>
      <c r="S34" s="4"/>
      <c r="T34" s="4"/>
      <c r="U34" s="4"/>
      <c r="V34" s="4"/>
      <c r="W34" s="4"/>
      <c r="X34" s="4"/>
      <c r="Y34" s="4"/>
    </row>
    <row r="35" spans="1:25" ht="12.75" customHeight="1">
      <c r="A35" s="359" t="s">
        <v>177</v>
      </c>
      <c r="B35" s="119">
        <f>(B33+B34)*1.45%</f>
        <v>20574.9925</v>
      </c>
      <c r="C35" s="116"/>
      <c r="D35" s="126"/>
      <c r="E35" s="118">
        <f t="shared" si="2"/>
        <v>20574.9925</v>
      </c>
      <c r="F35" s="4"/>
      <c r="G35" s="4"/>
      <c r="H35" s="4"/>
      <c r="I35" s="4"/>
      <c r="J35" s="4"/>
      <c r="K35" s="4"/>
      <c r="L35" s="4"/>
      <c r="M35" s="4"/>
      <c r="N35" s="4"/>
      <c r="O35" s="4"/>
      <c r="P35" s="4"/>
      <c r="Q35" s="4"/>
      <c r="R35" s="4"/>
      <c r="S35" s="4"/>
      <c r="T35" s="4"/>
      <c r="U35" s="4"/>
      <c r="V35" s="4"/>
      <c r="W35" s="4"/>
      <c r="X35" s="4"/>
      <c r="Y35" s="4"/>
    </row>
    <row r="36" spans="1:25" ht="12.75" customHeight="1">
      <c r="A36" s="359" t="s">
        <v>178</v>
      </c>
      <c r="B36" s="119">
        <v>0</v>
      </c>
      <c r="C36" s="116"/>
      <c r="D36" s="126"/>
      <c r="E36" s="118">
        <f t="shared" si="2"/>
        <v>0</v>
      </c>
      <c r="F36" s="4"/>
      <c r="G36" s="4"/>
      <c r="H36" s="4"/>
      <c r="I36" s="4"/>
      <c r="J36" s="4"/>
      <c r="K36" s="4"/>
      <c r="L36" s="4"/>
      <c r="M36" s="4"/>
      <c r="N36" s="4"/>
      <c r="O36" s="4"/>
      <c r="P36" s="4"/>
      <c r="Q36" s="4"/>
      <c r="R36" s="4"/>
      <c r="S36" s="4"/>
      <c r="T36" s="4"/>
      <c r="U36" s="4"/>
      <c r="V36" s="4"/>
      <c r="W36" s="4"/>
      <c r="X36" s="4"/>
      <c r="Y36" s="4"/>
    </row>
    <row r="37" spans="1:25" ht="12.75" customHeight="1">
      <c r="A37" s="141" t="s">
        <v>179</v>
      </c>
      <c r="B37" s="119">
        <f>((E33+E34)*'Page 3-Assumptions'!G31)-C37</f>
        <v>324942.98499999999</v>
      </c>
      <c r="C37" s="116"/>
      <c r="D37" s="126"/>
      <c r="E37" s="118">
        <f t="shared" si="2"/>
        <v>324942.98499999999</v>
      </c>
      <c r="F37" s="4"/>
      <c r="G37" s="4"/>
      <c r="H37" s="4"/>
      <c r="I37" s="4"/>
      <c r="J37" s="4"/>
      <c r="K37" s="4"/>
      <c r="L37" s="4"/>
      <c r="M37" s="4"/>
      <c r="N37" s="4"/>
      <c r="O37" s="4"/>
      <c r="P37" s="4"/>
      <c r="Q37" s="4"/>
      <c r="R37" s="4"/>
      <c r="S37" s="4"/>
      <c r="T37" s="4"/>
      <c r="U37" s="4"/>
      <c r="V37" s="4"/>
      <c r="W37" s="4"/>
      <c r="X37" s="4"/>
      <c r="Y37" s="4"/>
    </row>
    <row r="38" spans="1:25" ht="12.75" customHeight="1">
      <c r="A38" s="359" t="s">
        <v>180</v>
      </c>
      <c r="B38" s="119">
        <f>('Page 3-Assumptions'!B41*1.05^5)*24*0.8</f>
        <v>122523.03000000001</v>
      </c>
      <c r="C38" s="116"/>
      <c r="D38" s="126"/>
      <c r="E38" s="118">
        <f t="shared" si="2"/>
        <v>122523.03000000001</v>
      </c>
      <c r="F38" s="4"/>
      <c r="G38" s="166"/>
      <c r="H38" s="4"/>
      <c r="I38" s="4"/>
      <c r="J38" s="4"/>
      <c r="K38" s="4"/>
      <c r="L38" s="4"/>
      <c r="M38" s="4"/>
      <c r="N38" s="4"/>
      <c r="O38" s="4"/>
      <c r="P38" s="4"/>
      <c r="Q38" s="4"/>
      <c r="R38" s="4"/>
      <c r="S38" s="4"/>
      <c r="T38" s="4"/>
      <c r="U38" s="4"/>
      <c r="V38" s="4"/>
      <c r="W38" s="4"/>
      <c r="X38" s="4"/>
      <c r="Y38" s="4"/>
    </row>
    <row r="39" spans="1:25" ht="12.75" customHeight="1">
      <c r="A39" s="359" t="s">
        <v>181</v>
      </c>
      <c r="B39" s="119">
        <f>('Page 3-Assumptions'!B42*1.02^4)*24*0.8</f>
        <v>6858.2901657600005</v>
      </c>
      <c r="C39" s="116"/>
      <c r="D39" s="126"/>
      <c r="E39" s="118">
        <f t="shared" si="2"/>
        <v>6858.2901657600005</v>
      </c>
      <c r="F39" s="4"/>
      <c r="G39" s="4"/>
      <c r="H39" s="4"/>
      <c r="I39" s="4"/>
      <c r="J39" s="4"/>
      <c r="K39" s="4"/>
      <c r="L39" s="4"/>
      <c r="M39" s="4"/>
      <c r="N39" s="4"/>
      <c r="O39" s="4"/>
      <c r="P39" s="4"/>
      <c r="Q39" s="4"/>
      <c r="R39" s="4"/>
      <c r="S39" s="4"/>
      <c r="T39" s="4"/>
      <c r="U39" s="4"/>
      <c r="V39" s="4"/>
      <c r="W39" s="4"/>
      <c r="X39" s="4"/>
      <c r="Y39" s="4"/>
    </row>
    <row r="40" spans="1:25" ht="12.75" customHeight="1">
      <c r="A40" s="359" t="s">
        <v>182</v>
      </c>
      <c r="B40" s="119">
        <f>'Page 3-Assumptions'!$B$43*'Page 2-Staffing Plan'!G37</f>
        <v>0</v>
      </c>
      <c r="C40" s="116"/>
      <c r="D40" s="126"/>
      <c r="E40" s="118">
        <f t="shared" si="2"/>
        <v>0</v>
      </c>
      <c r="F40" s="4"/>
      <c r="G40" s="4"/>
      <c r="H40" s="4"/>
      <c r="I40" s="4"/>
      <c r="J40" s="4"/>
      <c r="K40" s="4"/>
      <c r="L40" s="4"/>
      <c r="M40" s="4"/>
      <c r="N40" s="4"/>
      <c r="O40" s="4"/>
      <c r="P40" s="4"/>
      <c r="Q40" s="4"/>
      <c r="R40" s="4"/>
      <c r="S40" s="4"/>
      <c r="T40" s="4"/>
      <c r="U40" s="4"/>
      <c r="V40" s="4"/>
      <c r="W40" s="4"/>
      <c r="X40" s="4"/>
      <c r="Y40" s="4"/>
    </row>
    <row r="41" spans="1:25" ht="12.75" customHeight="1">
      <c r="A41" s="141" t="s">
        <v>183</v>
      </c>
      <c r="B41" s="125">
        <v>89549</v>
      </c>
      <c r="C41" s="116"/>
      <c r="D41" s="116"/>
      <c r="E41" s="118">
        <f t="shared" si="2"/>
        <v>89549</v>
      </c>
      <c r="F41" s="4"/>
      <c r="G41" s="4"/>
      <c r="H41" s="4"/>
      <c r="I41" s="4"/>
      <c r="J41" s="4"/>
      <c r="K41" s="4"/>
      <c r="L41" s="4"/>
      <c r="M41" s="4"/>
      <c r="N41" s="4"/>
      <c r="O41" s="4"/>
      <c r="P41" s="4"/>
      <c r="Q41" s="4"/>
      <c r="R41" s="4"/>
      <c r="S41" s="4"/>
      <c r="T41" s="4"/>
      <c r="U41" s="4"/>
      <c r="V41" s="4"/>
      <c r="W41" s="4"/>
      <c r="X41" s="4"/>
      <c r="Y41" s="4"/>
    </row>
    <row r="42" spans="1:25" ht="12.75" customHeight="1">
      <c r="A42" s="141" t="s">
        <v>184</v>
      </c>
      <c r="B42" s="119">
        <f>('Page 3-Assumptions'!$B$45*'Page 2-Staffing Plan'!G37)</f>
        <v>3204</v>
      </c>
      <c r="C42" s="116"/>
      <c r="D42" s="126"/>
      <c r="E42" s="118">
        <f t="shared" si="2"/>
        <v>3204</v>
      </c>
      <c r="F42" s="4"/>
      <c r="G42" s="4"/>
      <c r="H42" s="4"/>
      <c r="I42" s="4"/>
      <c r="J42" s="4"/>
      <c r="K42" s="4"/>
      <c r="L42" s="4"/>
      <c r="M42" s="4"/>
      <c r="N42" s="4"/>
      <c r="O42" s="4"/>
      <c r="P42" s="4"/>
      <c r="Q42" s="4"/>
      <c r="R42" s="4"/>
      <c r="S42" s="4"/>
      <c r="T42" s="4"/>
      <c r="U42" s="4"/>
      <c r="V42" s="4"/>
      <c r="W42" s="4"/>
      <c r="X42" s="4"/>
      <c r="Y42" s="4"/>
    </row>
    <row r="43" spans="1:25" ht="12.75" customHeight="1">
      <c r="A43" s="359" t="s">
        <v>185</v>
      </c>
      <c r="B43" s="119">
        <v>57000</v>
      </c>
      <c r="C43" s="116"/>
      <c r="D43" s="360"/>
      <c r="E43" s="118">
        <f t="shared" si="2"/>
        <v>57000</v>
      </c>
      <c r="F43" s="4"/>
      <c r="G43" s="4"/>
      <c r="H43" s="4"/>
      <c r="I43" s="4"/>
      <c r="J43" s="4"/>
      <c r="K43" s="4"/>
      <c r="L43" s="4"/>
      <c r="M43" s="4"/>
      <c r="N43" s="4"/>
      <c r="O43" s="4"/>
      <c r="P43" s="4"/>
      <c r="Q43" s="4"/>
      <c r="R43" s="4"/>
      <c r="S43" s="4"/>
      <c r="T43" s="4"/>
      <c r="U43" s="4"/>
      <c r="V43" s="4"/>
      <c r="W43" s="4"/>
      <c r="X43" s="4"/>
      <c r="Y43" s="4"/>
    </row>
    <row r="44" spans="1:25" ht="12.75" customHeight="1">
      <c r="A44" s="141" t="s">
        <v>186</v>
      </c>
      <c r="B44" s="119">
        <f>E5*'Page 3-Assumptions'!$B$46</f>
        <v>9600</v>
      </c>
      <c r="C44" s="116"/>
      <c r="D44" s="126"/>
      <c r="E44" s="118">
        <f t="shared" si="2"/>
        <v>9600</v>
      </c>
      <c r="F44" s="4"/>
      <c r="G44" s="4"/>
      <c r="H44" s="4"/>
      <c r="I44" s="4"/>
      <c r="J44" s="4"/>
      <c r="K44" s="4"/>
      <c r="L44" s="4"/>
      <c r="M44" s="4"/>
      <c r="N44" s="4"/>
      <c r="O44" s="4"/>
      <c r="P44" s="4"/>
      <c r="Q44" s="4"/>
      <c r="R44" s="4"/>
      <c r="S44" s="4"/>
      <c r="T44" s="4"/>
      <c r="U44" s="4"/>
      <c r="V44" s="4"/>
      <c r="W44" s="4"/>
      <c r="X44" s="4"/>
      <c r="Y44" s="4"/>
    </row>
    <row r="45" spans="1:25" ht="12.75" customHeight="1">
      <c r="A45" s="359" t="s">
        <v>187</v>
      </c>
      <c r="B45" s="116">
        <f>'Page 8-Year 4'!B45*1.05</f>
        <v>2100</v>
      </c>
      <c r="C45" s="116"/>
      <c r="D45" s="126"/>
      <c r="E45" s="118">
        <f t="shared" si="2"/>
        <v>2100</v>
      </c>
      <c r="F45" s="4"/>
      <c r="G45" s="4"/>
      <c r="H45" s="4"/>
      <c r="I45" s="4"/>
      <c r="J45" s="4"/>
      <c r="K45" s="4"/>
      <c r="L45" s="4"/>
      <c r="M45" s="4"/>
      <c r="N45" s="4"/>
      <c r="O45" s="4"/>
      <c r="P45" s="4"/>
      <c r="Q45" s="4"/>
      <c r="R45" s="4"/>
      <c r="S45" s="4"/>
      <c r="T45" s="4"/>
      <c r="U45" s="4"/>
      <c r="V45" s="4"/>
      <c r="W45" s="4"/>
      <c r="X45" s="4"/>
      <c r="Y45" s="4"/>
    </row>
    <row r="46" spans="1:25" ht="12.75" customHeight="1">
      <c r="A46" s="359" t="s">
        <v>188</v>
      </c>
      <c r="B46" s="116">
        <v>20200</v>
      </c>
      <c r="C46" s="116"/>
      <c r="D46" s="126"/>
      <c r="E46" s="118">
        <f t="shared" si="2"/>
        <v>20200</v>
      </c>
      <c r="F46" s="4"/>
      <c r="G46" s="4"/>
      <c r="H46" s="4"/>
      <c r="I46" s="4"/>
      <c r="J46" s="4"/>
      <c r="K46" s="4"/>
      <c r="L46" s="4"/>
      <c r="M46" s="4"/>
      <c r="N46" s="4"/>
      <c r="O46" s="4"/>
      <c r="P46" s="4"/>
      <c r="Q46" s="4"/>
      <c r="R46" s="4"/>
      <c r="S46" s="4"/>
      <c r="T46" s="4"/>
      <c r="U46" s="4"/>
      <c r="V46" s="4"/>
      <c r="W46" s="4"/>
      <c r="X46" s="4"/>
      <c r="Y46" s="4"/>
    </row>
    <row r="47" spans="1:25" ht="12.75" customHeight="1">
      <c r="A47" s="359" t="s">
        <v>189</v>
      </c>
      <c r="B47" s="116">
        <v>0</v>
      </c>
      <c r="C47" s="116">
        <f>SUM(C16:C24)</f>
        <v>58420.480000000003</v>
      </c>
      <c r="D47" s="126"/>
      <c r="E47" s="118">
        <f t="shared" si="2"/>
        <v>58420.480000000003</v>
      </c>
      <c r="F47" s="4"/>
      <c r="G47" s="4"/>
      <c r="H47" s="4"/>
      <c r="I47" s="4"/>
      <c r="J47" s="4"/>
      <c r="K47" s="4"/>
      <c r="L47" s="4"/>
      <c r="M47" s="4"/>
      <c r="N47" s="4"/>
      <c r="O47" s="4"/>
      <c r="P47" s="4"/>
      <c r="Q47" s="4"/>
      <c r="R47" s="4"/>
      <c r="S47" s="4"/>
      <c r="T47" s="4"/>
      <c r="U47" s="4"/>
      <c r="V47" s="4"/>
      <c r="W47" s="4"/>
      <c r="X47" s="4"/>
      <c r="Y47" s="4"/>
    </row>
    <row r="48" spans="1:25" ht="12.75" customHeight="1">
      <c r="A48" s="359" t="s">
        <v>190</v>
      </c>
      <c r="B48" s="116">
        <f>'Page 8-Year 4'!B48*1.05</f>
        <v>2100</v>
      </c>
      <c r="C48" s="116"/>
      <c r="D48" s="126"/>
      <c r="E48" s="118">
        <f t="shared" si="2"/>
        <v>2100</v>
      </c>
      <c r="F48" s="4"/>
      <c r="G48" s="4"/>
      <c r="H48" s="4"/>
      <c r="I48" s="4"/>
      <c r="J48" s="4"/>
      <c r="K48" s="4"/>
      <c r="L48" s="4"/>
      <c r="M48" s="4"/>
      <c r="N48" s="4"/>
      <c r="O48" s="4"/>
      <c r="P48" s="4"/>
      <c r="Q48" s="4"/>
      <c r="R48" s="4"/>
      <c r="S48" s="4"/>
      <c r="T48" s="4"/>
      <c r="U48" s="4"/>
      <c r="V48" s="4"/>
      <c r="W48" s="4"/>
      <c r="X48" s="4"/>
      <c r="Y48" s="4"/>
    </row>
    <row r="49" spans="1:25" ht="12.75" customHeight="1">
      <c r="A49" s="141" t="s">
        <v>191</v>
      </c>
      <c r="B49" s="116">
        <f>'Page 8-Year 4'!B49*1.02</f>
        <v>17488.639922687998</v>
      </c>
      <c r="C49" s="116"/>
      <c r="D49" s="116"/>
      <c r="E49" s="118">
        <f t="shared" si="2"/>
        <v>17488.639922687998</v>
      </c>
      <c r="F49" s="4"/>
      <c r="G49" s="4"/>
      <c r="H49" s="4"/>
      <c r="I49" s="4"/>
      <c r="J49" s="4"/>
      <c r="K49" s="4"/>
      <c r="L49" s="4"/>
      <c r="M49" s="4"/>
      <c r="N49" s="4"/>
      <c r="O49" s="4"/>
      <c r="P49" s="4"/>
      <c r="Q49" s="4"/>
      <c r="R49" s="4"/>
      <c r="S49" s="4"/>
      <c r="T49" s="4"/>
      <c r="U49" s="4"/>
      <c r="V49" s="4"/>
      <c r="W49" s="4"/>
      <c r="X49" s="4"/>
      <c r="Y49" s="4"/>
    </row>
    <row r="50" spans="1:25" ht="12.75" customHeight="1">
      <c r="A50" s="359" t="s">
        <v>192</v>
      </c>
      <c r="B50" s="116">
        <f>'Page 8-Year 4'!B50*1.05</f>
        <v>0</v>
      </c>
      <c r="C50" s="116"/>
      <c r="D50" s="126"/>
      <c r="E50" s="118">
        <f t="shared" si="2"/>
        <v>0</v>
      </c>
      <c r="F50" s="4"/>
      <c r="G50" s="4"/>
      <c r="H50" s="4"/>
      <c r="I50" s="4"/>
      <c r="J50" s="4"/>
      <c r="K50" s="4"/>
      <c r="L50" s="4"/>
      <c r="M50" s="4"/>
      <c r="N50" s="4"/>
      <c r="O50" s="4"/>
      <c r="P50" s="4"/>
      <c r="Q50" s="4"/>
      <c r="R50" s="4"/>
      <c r="S50" s="4"/>
      <c r="T50" s="4"/>
      <c r="U50" s="4"/>
      <c r="V50" s="4"/>
      <c r="W50" s="4"/>
      <c r="X50" s="4"/>
      <c r="Y50" s="4"/>
    </row>
    <row r="51" spans="1:25" ht="12.75" customHeight="1">
      <c r="A51" s="359" t="s">
        <v>193</v>
      </c>
      <c r="B51" s="116">
        <f>0.05*B52</f>
        <v>6480</v>
      </c>
      <c r="C51" s="116"/>
      <c r="D51" s="126"/>
      <c r="E51" s="118">
        <f t="shared" si="2"/>
        <v>6480</v>
      </c>
      <c r="F51" s="4"/>
      <c r="G51" s="4"/>
      <c r="H51" s="4"/>
      <c r="I51" s="4"/>
      <c r="J51" s="4"/>
      <c r="K51" s="4"/>
      <c r="L51" s="4"/>
      <c r="M51" s="4"/>
      <c r="N51" s="4"/>
      <c r="O51" s="4"/>
      <c r="P51" s="4"/>
      <c r="Q51" s="4"/>
      <c r="R51" s="4"/>
      <c r="S51" s="4"/>
      <c r="T51" s="4"/>
      <c r="U51" s="4"/>
      <c r="V51" s="4"/>
      <c r="W51" s="4"/>
      <c r="X51" s="4"/>
      <c r="Y51" s="4"/>
    </row>
    <row r="52" spans="1:25" ht="12.75" customHeight="1">
      <c r="A52" s="359" t="s">
        <v>194</v>
      </c>
      <c r="B52" s="119">
        <v>129600</v>
      </c>
      <c r="C52" s="116"/>
      <c r="D52" s="126"/>
      <c r="E52" s="118">
        <f t="shared" si="2"/>
        <v>129600</v>
      </c>
      <c r="F52" s="4"/>
      <c r="G52" s="4"/>
      <c r="H52" s="4"/>
      <c r="I52" s="4"/>
      <c r="J52" s="4"/>
      <c r="K52" s="4"/>
      <c r="L52" s="4"/>
      <c r="M52" s="4"/>
      <c r="N52" s="4"/>
      <c r="O52" s="4"/>
      <c r="P52" s="4"/>
      <c r="Q52" s="4"/>
      <c r="R52" s="4"/>
      <c r="S52" s="4"/>
      <c r="T52" s="4"/>
      <c r="U52" s="4"/>
      <c r="V52" s="4"/>
      <c r="W52" s="4"/>
      <c r="X52" s="4"/>
      <c r="Y52" s="4"/>
    </row>
    <row r="53" spans="1:25" ht="12.75" customHeight="1">
      <c r="A53" s="359" t="s">
        <v>195</v>
      </c>
      <c r="B53" s="119">
        <v>4000</v>
      </c>
      <c r="C53" s="116"/>
      <c r="D53" s="126"/>
      <c r="E53" s="118">
        <f t="shared" si="2"/>
        <v>4000</v>
      </c>
      <c r="F53" s="4"/>
      <c r="G53" s="4"/>
      <c r="H53" s="4"/>
      <c r="I53" s="4"/>
      <c r="J53" s="4"/>
      <c r="K53" s="4"/>
      <c r="L53" s="4"/>
      <c r="M53" s="4"/>
      <c r="N53" s="4"/>
      <c r="O53" s="4"/>
      <c r="P53" s="4"/>
      <c r="Q53" s="4"/>
      <c r="R53" s="4"/>
      <c r="S53" s="4"/>
      <c r="T53" s="4"/>
      <c r="U53" s="4"/>
      <c r="V53" s="4"/>
      <c r="W53" s="4"/>
      <c r="X53" s="4"/>
      <c r="Y53" s="4"/>
    </row>
    <row r="54" spans="1:25" ht="12.75" customHeight="1">
      <c r="A54" s="141" t="s">
        <v>196</v>
      </c>
      <c r="B54" s="119">
        <f>'Page 3-Assumptions'!G35</f>
        <v>27133.8898194432</v>
      </c>
      <c r="C54" s="116"/>
      <c r="D54" s="126"/>
      <c r="E54" s="118">
        <f t="shared" si="2"/>
        <v>27133.8898194432</v>
      </c>
      <c r="F54" s="4"/>
      <c r="G54" s="4"/>
      <c r="H54" s="4"/>
      <c r="I54" s="4"/>
      <c r="J54" s="4"/>
      <c r="K54" s="4"/>
      <c r="L54" s="4"/>
      <c r="M54" s="4"/>
      <c r="N54" s="4"/>
      <c r="O54" s="4"/>
      <c r="P54" s="4"/>
      <c r="Q54" s="4"/>
      <c r="R54" s="4"/>
      <c r="S54" s="4"/>
      <c r="T54" s="4"/>
      <c r="U54" s="4"/>
      <c r="V54" s="4"/>
      <c r="W54" s="4"/>
      <c r="X54" s="4"/>
      <c r="Y54" s="4"/>
    </row>
    <row r="55" spans="1:25" ht="12.75" customHeight="1">
      <c r="A55" s="359" t="s">
        <v>197</v>
      </c>
      <c r="B55" s="119">
        <f>'Page 3-Assumptions'!$G$34*(E33+E34)</f>
        <v>4256.8950000000004</v>
      </c>
      <c r="C55" s="116"/>
      <c r="D55" s="126"/>
      <c r="E55" s="118">
        <f t="shared" si="2"/>
        <v>4256.8950000000004</v>
      </c>
      <c r="F55" s="4"/>
      <c r="G55" s="4"/>
      <c r="H55" s="4"/>
      <c r="I55" s="4"/>
      <c r="J55" s="4"/>
      <c r="K55" s="4"/>
      <c r="L55" s="4"/>
      <c r="M55" s="4"/>
      <c r="N55" s="4"/>
      <c r="O55" s="4"/>
      <c r="P55" s="4"/>
      <c r="Q55" s="4"/>
      <c r="R55" s="4"/>
      <c r="S55" s="4"/>
      <c r="T55" s="4"/>
      <c r="U55" s="4"/>
      <c r="V55" s="4"/>
      <c r="W55" s="4"/>
      <c r="X55" s="4"/>
      <c r="Y55" s="4"/>
    </row>
    <row r="56" spans="1:25" ht="12.75" customHeight="1">
      <c r="A56" s="359" t="s">
        <v>198</v>
      </c>
      <c r="B56" s="119">
        <f>((E33+E34)/100)*2</f>
        <v>28379.3</v>
      </c>
      <c r="C56" s="116"/>
      <c r="D56" s="126"/>
      <c r="E56" s="118">
        <f t="shared" si="2"/>
        <v>28379.3</v>
      </c>
      <c r="F56" s="4"/>
      <c r="G56" s="4"/>
      <c r="H56" s="4"/>
      <c r="I56" s="4"/>
      <c r="J56" s="4"/>
      <c r="K56" s="4"/>
      <c r="L56" s="4"/>
      <c r="M56" s="4"/>
      <c r="N56" s="4"/>
      <c r="O56" s="4"/>
      <c r="P56" s="4"/>
      <c r="Q56" s="4"/>
      <c r="R56" s="4"/>
      <c r="S56" s="4"/>
      <c r="T56" s="4"/>
      <c r="U56" s="4"/>
      <c r="V56" s="4"/>
      <c r="W56" s="4"/>
      <c r="X56" s="4"/>
      <c r="Y56" s="4"/>
    </row>
    <row r="57" spans="1:25" ht="12.75" customHeight="1">
      <c r="A57" s="359" t="s">
        <v>199</v>
      </c>
      <c r="B57" s="116">
        <f>'Page 8-Year 4'!B57*1.05</f>
        <v>0</v>
      </c>
      <c r="C57" s="116"/>
      <c r="D57" s="126"/>
      <c r="E57" s="118">
        <f t="shared" si="2"/>
        <v>0</v>
      </c>
      <c r="F57" s="4"/>
      <c r="G57" s="4"/>
      <c r="H57" s="4"/>
      <c r="I57" s="4"/>
      <c r="J57" s="4"/>
      <c r="K57" s="4"/>
      <c r="L57" s="4"/>
      <c r="M57" s="4"/>
      <c r="N57" s="4"/>
      <c r="O57" s="4"/>
      <c r="P57" s="4"/>
      <c r="Q57" s="4"/>
      <c r="R57" s="4"/>
      <c r="S57" s="4"/>
      <c r="T57" s="4"/>
      <c r="U57" s="4"/>
      <c r="V57" s="4"/>
      <c r="W57" s="4"/>
      <c r="X57" s="4"/>
      <c r="Y57" s="4"/>
    </row>
    <row r="58" spans="1:25" ht="12.75" customHeight="1">
      <c r="A58" s="141" t="s">
        <v>200</v>
      </c>
      <c r="B58" s="125">
        <v>60000</v>
      </c>
      <c r="C58" s="116"/>
      <c r="D58" s="126"/>
      <c r="E58" s="118">
        <f t="shared" si="2"/>
        <v>60000</v>
      </c>
      <c r="F58" s="4"/>
      <c r="G58" s="4"/>
      <c r="H58" s="4"/>
      <c r="I58" s="4"/>
      <c r="J58" s="4"/>
      <c r="K58" s="4"/>
      <c r="L58" s="4"/>
      <c r="M58" s="4"/>
      <c r="N58" s="4"/>
      <c r="O58" s="4"/>
      <c r="P58" s="4"/>
      <c r="Q58" s="4"/>
      <c r="R58" s="4"/>
      <c r="S58" s="4"/>
      <c r="T58" s="4"/>
      <c r="U58" s="4"/>
      <c r="V58" s="4"/>
      <c r="W58" s="4"/>
      <c r="X58" s="4"/>
      <c r="Y58" s="4"/>
    </row>
    <row r="59" spans="1:25" ht="12.75" customHeight="1">
      <c r="A59" s="359" t="s">
        <v>201</v>
      </c>
      <c r="B59" s="119">
        <v>2000</v>
      </c>
      <c r="C59" s="116"/>
      <c r="D59" s="126"/>
      <c r="E59" s="118">
        <f t="shared" si="2"/>
        <v>2000</v>
      </c>
      <c r="F59" s="4"/>
      <c r="G59" s="4"/>
      <c r="H59" s="4"/>
      <c r="I59" s="4"/>
      <c r="J59" s="4"/>
      <c r="K59" s="4"/>
      <c r="L59" s="4"/>
      <c r="M59" s="4"/>
      <c r="N59" s="4"/>
      <c r="O59" s="4"/>
      <c r="P59" s="4"/>
      <c r="Q59" s="4"/>
      <c r="R59" s="4"/>
      <c r="S59" s="4"/>
      <c r="T59" s="4"/>
      <c r="U59" s="4"/>
      <c r="V59" s="4"/>
      <c r="W59" s="4"/>
      <c r="X59" s="4"/>
      <c r="Y59" s="4"/>
    </row>
    <row r="60" spans="1:25" ht="12.75" customHeight="1">
      <c r="A60" s="359" t="s">
        <v>202</v>
      </c>
      <c r="B60" s="119">
        <v>0</v>
      </c>
      <c r="C60" s="116"/>
      <c r="D60" s="361"/>
      <c r="E60" s="118">
        <f t="shared" si="2"/>
        <v>0</v>
      </c>
      <c r="F60" s="4"/>
      <c r="G60" s="4"/>
      <c r="H60" s="4"/>
      <c r="I60" s="4"/>
      <c r="J60" s="4"/>
      <c r="K60" s="4"/>
      <c r="L60" s="4"/>
      <c r="M60" s="4"/>
      <c r="N60" s="4"/>
      <c r="O60" s="4"/>
      <c r="P60" s="4"/>
      <c r="Q60" s="4"/>
      <c r="R60" s="4"/>
      <c r="S60" s="4"/>
      <c r="T60" s="4"/>
      <c r="U60" s="4"/>
      <c r="V60" s="4"/>
      <c r="W60" s="4"/>
      <c r="X60" s="4"/>
      <c r="Y60" s="4"/>
    </row>
    <row r="61" spans="1:25" ht="12.75" customHeight="1">
      <c r="A61" s="327" t="s">
        <v>203</v>
      </c>
      <c r="B61" s="119">
        <f>B28*'Page 3-Assumptions'!G29</f>
        <v>40501.349262917269</v>
      </c>
      <c r="C61" s="116"/>
      <c r="D61" s="126"/>
      <c r="E61" s="118">
        <f t="shared" si="2"/>
        <v>40501.349262917269</v>
      </c>
      <c r="F61" s="4"/>
      <c r="G61" s="4"/>
      <c r="H61" s="4"/>
      <c r="I61" s="4"/>
      <c r="J61" s="4"/>
      <c r="K61" s="4"/>
      <c r="L61" s="4"/>
      <c r="M61" s="4"/>
      <c r="N61" s="4"/>
      <c r="O61" s="4"/>
      <c r="P61" s="4"/>
      <c r="Q61" s="4"/>
      <c r="R61" s="4"/>
      <c r="S61" s="4"/>
      <c r="T61" s="4"/>
      <c r="U61" s="4"/>
      <c r="V61" s="4"/>
      <c r="W61" s="4"/>
      <c r="X61" s="4"/>
      <c r="Y61" s="4"/>
    </row>
    <row r="62" spans="1:25" ht="12.75" customHeight="1">
      <c r="A62" s="141" t="s">
        <v>204</v>
      </c>
      <c r="B62" s="119">
        <f>B28*'Page 3-Assumptions'!G30</f>
        <v>13500.449754305757</v>
      </c>
      <c r="C62" s="116"/>
      <c r="D62" s="126"/>
      <c r="E62" s="118">
        <f t="shared" si="2"/>
        <v>13500.449754305757</v>
      </c>
      <c r="F62" s="4"/>
      <c r="G62" s="4"/>
      <c r="H62" s="4"/>
      <c r="I62" s="4"/>
      <c r="J62" s="4"/>
      <c r="K62" s="4"/>
      <c r="L62" s="4"/>
      <c r="M62" s="4"/>
      <c r="N62" s="4"/>
      <c r="O62" s="4"/>
      <c r="P62" s="4"/>
      <c r="Q62" s="4"/>
      <c r="R62" s="4"/>
      <c r="S62" s="4"/>
      <c r="T62" s="4"/>
      <c r="U62" s="4"/>
      <c r="V62" s="4"/>
      <c r="W62" s="4"/>
      <c r="X62" s="4"/>
      <c r="Y62" s="4"/>
    </row>
    <row r="63" spans="1:25" ht="12.75" customHeight="1">
      <c r="A63" s="359" t="s">
        <v>205</v>
      </c>
      <c r="B63" s="119">
        <f>(4*5000)*1.02^5</f>
        <v>22081.616064000002</v>
      </c>
      <c r="C63" s="116"/>
      <c r="D63" s="126"/>
      <c r="E63" s="118">
        <f t="shared" si="2"/>
        <v>22081.616064000002</v>
      </c>
      <c r="F63" s="4"/>
      <c r="G63" s="4"/>
      <c r="H63" s="4"/>
      <c r="I63" s="4"/>
      <c r="J63" s="4"/>
      <c r="K63" s="4"/>
      <c r="L63" s="4"/>
      <c r="M63" s="4"/>
      <c r="N63" s="4"/>
      <c r="O63" s="4"/>
      <c r="P63" s="4"/>
      <c r="Q63" s="4"/>
      <c r="R63" s="4"/>
      <c r="S63" s="4"/>
      <c r="T63" s="4"/>
      <c r="U63" s="4"/>
      <c r="V63" s="4"/>
      <c r="W63" s="4"/>
      <c r="X63" s="4"/>
      <c r="Y63" s="4"/>
    </row>
    <row r="64" spans="1:25" ht="12.75" customHeight="1">
      <c r="A64" s="359" t="s">
        <v>206</v>
      </c>
      <c r="B64" s="119">
        <f>E5*'Page 3-Assumptions'!$B$53</f>
        <v>0</v>
      </c>
      <c r="C64" s="116"/>
      <c r="D64" s="126"/>
      <c r="E64" s="118">
        <f t="shared" si="2"/>
        <v>0</v>
      </c>
      <c r="F64" s="4"/>
      <c r="G64" s="4"/>
      <c r="H64" s="4"/>
      <c r="I64" s="4"/>
      <c r="J64" s="4"/>
      <c r="K64" s="4"/>
      <c r="L64" s="4"/>
      <c r="M64" s="4"/>
      <c r="N64" s="4"/>
      <c r="O64" s="4"/>
      <c r="P64" s="4"/>
      <c r="Q64" s="4"/>
      <c r="R64" s="4"/>
      <c r="S64" s="4"/>
      <c r="T64" s="4"/>
      <c r="U64" s="4"/>
      <c r="V64" s="4"/>
      <c r="W64" s="4"/>
      <c r="X64" s="4"/>
      <c r="Y64" s="4"/>
    </row>
    <row r="65" spans="1:25" ht="12.75" customHeight="1">
      <c r="A65" s="359" t="s">
        <v>207</v>
      </c>
      <c r="B65" s="119">
        <f>2000*1.02^5</f>
        <v>2208.1616064</v>
      </c>
      <c r="C65" s="116"/>
      <c r="D65" s="126"/>
      <c r="E65" s="118">
        <f t="shared" si="2"/>
        <v>2208.1616064</v>
      </c>
      <c r="F65" s="4"/>
      <c r="G65" s="4"/>
      <c r="H65" s="4"/>
      <c r="I65" s="4"/>
      <c r="J65" s="4"/>
      <c r="K65" s="4"/>
      <c r="L65" s="4"/>
      <c r="M65" s="4"/>
      <c r="N65" s="4"/>
      <c r="O65" s="4"/>
      <c r="P65" s="4"/>
      <c r="Q65" s="4"/>
      <c r="R65" s="4"/>
      <c r="S65" s="4"/>
      <c r="T65" s="4"/>
      <c r="U65" s="4"/>
      <c r="V65" s="4"/>
      <c r="W65" s="4"/>
      <c r="X65" s="4"/>
      <c r="Y65" s="4"/>
    </row>
    <row r="66" spans="1:25" ht="12.75" customHeight="1">
      <c r="A66" s="359" t="s">
        <v>208</v>
      </c>
      <c r="B66" s="117">
        <f>'Page 8-Year 4'!B66*1.05</f>
        <v>5250</v>
      </c>
      <c r="C66" s="116"/>
      <c r="D66" s="361"/>
      <c r="E66" s="118">
        <f t="shared" si="2"/>
        <v>5250</v>
      </c>
      <c r="F66" s="4"/>
      <c r="G66" s="4"/>
      <c r="H66" s="4"/>
      <c r="I66" s="4"/>
      <c r="J66" s="4"/>
      <c r="K66" s="4"/>
      <c r="L66" s="4"/>
      <c r="M66" s="4"/>
      <c r="N66" s="4"/>
      <c r="O66" s="4"/>
      <c r="P66" s="4"/>
      <c r="Q66" s="4"/>
      <c r="R66" s="4"/>
      <c r="S66" s="4"/>
      <c r="T66" s="4"/>
      <c r="U66" s="4"/>
      <c r="V66" s="4"/>
      <c r="W66" s="4"/>
      <c r="X66" s="4"/>
      <c r="Y66" s="4"/>
    </row>
    <row r="67" spans="1:25" ht="12.75" customHeight="1">
      <c r="A67" s="359" t="s">
        <v>209</v>
      </c>
      <c r="B67" s="117">
        <f>'Page 8-Year 4'!B67*1.043</f>
        <v>0</v>
      </c>
      <c r="C67" s="116"/>
      <c r="D67" s="126"/>
      <c r="E67" s="118">
        <f t="shared" si="2"/>
        <v>0</v>
      </c>
      <c r="F67" s="4"/>
      <c r="G67" s="4"/>
      <c r="H67" s="4"/>
      <c r="I67" s="4"/>
      <c r="J67" s="4"/>
      <c r="K67" s="4"/>
      <c r="L67" s="4"/>
      <c r="M67" s="4"/>
      <c r="N67" s="4"/>
      <c r="O67" s="4"/>
      <c r="P67" s="4"/>
      <c r="Q67" s="4"/>
      <c r="R67" s="4"/>
      <c r="S67" s="4"/>
      <c r="T67" s="4"/>
      <c r="U67" s="4"/>
      <c r="V67" s="4"/>
      <c r="W67" s="4"/>
      <c r="X67" s="4"/>
      <c r="Y67" s="4"/>
    </row>
    <row r="68" spans="1:25" ht="12.75" customHeight="1">
      <c r="A68" s="141" t="s">
        <v>210</v>
      </c>
      <c r="B68" s="117"/>
      <c r="C68" s="116"/>
      <c r="D68" s="116"/>
      <c r="E68" s="118">
        <f t="shared" si="2"/>
        <v>0</v>
      </c>
      <c r="F68" s="4"/>
      <c r="G68" s="4"/>
      <c r="H68" s="4"/>
      <c r="I68" s="4"/>
      <c r="J68" s="4"/>
      <c r="K68" s="4"/>
      <c r="L68" s="4"/>
      <c r="M68" s="4"/>
      <c r="N68" s="4"/>
      <c r="O68" s="4"/>
      <c r="P68" s="4"/>
      <c r="Q68" s="4"/>
      <c r="R68" s="4"/>
      <c r="S68" s="4"/>
      <c r="T68" s="4"/>
      <c r="U68" s="4"/>
      <c r="V68" s="4"/>
      <c r="W68" s="4"/>
      <c r="X68" s="4"/>
      <c r="Y68" s="4"/>
    </row>
    <row r="69" spans="1:25" ht="12.75" customHeight="1">
      <c r="A69" s="359" t="s">
        <v>211</v>
      </c>
      <c r="B69" s="117">
        <f>4000*1.02^5</f>
        <v>4416.3232128</v>
      </c>
      <c r="C69" s="116"/>
      <c r="D69" s="126"/>
      <c r="E69" s="118">
        <f t="shared" si="2"/>
        <v>4416.3232128</v>
      </c>
      <c r="F69" s="4"/>
      <c r="G69" s="4"/>
      <c r="H69" s="4"/>
      <c r="I69" s="4"/>
      <c r="J69" s="4"/>
      <c r="K69" s="4"/>
      <c r="L69" s="4"/>
      <c r="M69" s="4"/>
      <c r="N69" s="4"/>
      <c r="O69" s="4"/>
      <c r="P69" s="4"/>
      <c r="Q69" s="4"/>
      <c r="R69" s="4"/>
      <c r="S69" s="4"/>
      <c r="T69" s="4"/>
      <c r="U69" s="4"/>
      <c r="V69" s="4"/>
      <c r="W69" s="4"/>
      <c r="X69" s="4"/>
      <c r="Y69" s="4"/>
    </row>
    <row r="70" spans="1:25" ht="12.75" customHeight="1">
      <c r="A70" s="359" t="s">
        <v>212</v>
      </c>
      <c r="B70" s="117">
        <f>'Page 8-Year 4'!B70*1.05</f>
        <v>0</v>
      </c>
      <c r="C70" s="116"/>
      <c r="D70" s="126"/>
      <c r="E70" s="118">
        <f t="shared" si="2"/>
        <v>0</v>
      </c>
      <c r="F70" s="4"/>
      <c r="G70" s="4"/>
      <c r="H70" s="4"/>
      <c r="I70" s="4"/>
      <c r="J70" s="4"/>
      <c r="K70" s="4"/>
      <c r="L70" s="4"/>
      <c r="M70" s="4"/>
      <c r="N70" s="4"/>
      <c r="O70" s="4"/>
      <c r="P70" s="4"/>
      <c r="Q70" s="4"/>
      <c r="R70" s="4"/>
      <c r="S70" s="4"/>
      <c r="T70" s="4"/>
      <c r="U70" s="4"/>
      <c r="V70" s="4"/>
      <c r="W70" s="4"/>
      <c r="X70" s="4"/>
      <c r="Y70" s="4"/>
    </row>
    <row r="71" spans="1:25" ht="12.75" customHeight="1">
      <c r="A71" s="359" t="s">
        <v>213</v>
      </c>
      <c r="B71" s="119">
        <v>2200</v>
      </c>
      <c r="C71" s="116"/>
      <c r="D71" s="126"/>
      <c r="E71" s="118">
        <f t="shared" si="2"/>
        <v>2200</v>
      </c>
      <c r="F71" s="4"/>
      <c r="G71" s="4"/>
      <c r="H71" s="4"/>
      <c r="I71" s="4"/>
      <c r="J71" s="4"/>
      <c r="K71" s="4"/>
      <c r="L71" s="4"/>
      <c r="M71" s="4"/>
      <c r="N71" s="4"/>
      <c r="O71" s="4"/>
      <c r="P71" s="4"/>
      <c r="Q71" s="4"/>
      <c r="R71" s="4"/>
      <c r="S71" s="4"/>
      <c r="T71" s="4"/>
      <c r="U71" s="4"/>
      <c r="V71" s="4"/>
      <c r="W71" s="4"/>
      <c r="X71" s="4"/>
      <c r="Y71" s="4"/>
    </row>
    <row r="72" spans="1:25" ht="12.75" customHeight="1">
      <c r="A72" s="359" t="s">
        <v>214</v>
      </c>
      <c r="B72" s="116">
        <v>5000</v>
      </c>
      <c r="C72" s="116"/>
      <c r="D72" s="126"/>
      <c r="E72" s="118">
        <f t="shared" si="2"/>
        <v>5000</v>
      </c>
      <c r="F72" s="4"/>
      <c r="G72" s="4"/>
      <c r="H72" s="4"/>
      <c r="I72" s="4"/>
      <c r="J72" s="4"/>
      <c r="K72" s="4"/>
      <c r="L72" s="4"/>
      <c r="M72" s="4"/>
      <c r="N72" s="4"/>
      <c r="O72" s="4"/>
      <c r="P72" s="4"/>
      <c r="Q72" s="4"/>
      <c r="R72" s="4"/>
      <c r="S72" s="4"/>
      <c r="T72" s="4"/>
      <c r="U72" s="4"/>
      <c r="V72" s="4"/>
      <c r="W72" s="4"/>
      <c r="X72" s="4"/>
      <c r="Y72" s="4"/>
    </row>
    <row r="73" spans="1:25" ht="12.75" customHeight="1">
      <c r="A73" s="359" t="s">
        <v>215</v>
      </c>
      <c r="B73" s="119">
        <f>('Page 3-Assumptions'!$B$56*'Page 1-Enrollment Plan'!F21)</f>
        <v>0</v>
      </c>
      <c r="C73" s="116"/>
      <c r="D73" s="126"/>
      <c r="E73" s="118">
        <f t="shared" si="2"/>
        <v>0</v>
      </c>
      <c r="F73" s="4"/>
      <c r="G73" s="4"/>
      <c r="H73" s="4"/>
      <c r="I73" s="4"/>
      <c r="J73" s="4"/>
      <c r="K73" s="4"/>
      <c r="L73" s="4"/>
      <c r="M73" s="4"/>
      <c r="N73" s="4"/>
      <c r="O73" s="4"/>
      <c r="P73" s="4"/>
      <c r="Q73" s="4"/>
      <c r="R73" s="4"/>
      <c r="S73" s="4"/>
      <c r="T73" s="4"/>
      <c r="U73" s="4"/>
      <c r="V73" s="4"/>
      <c r="W73" s="4"/>
      <c r="X73" s="4"/>
      <c r="Y73" s="4"/>
    </row>
    <row r="74" spans="1:25" ht="12.75" customHeight="1">
      <c r="A74" s="141" t="s">
        <v>234</v>
      </c>
      <c r="B74" s="119">
        <f>0.04*B30</f>
        <v>105891.00959791515</v>
      </c>
      <c r="C74" s="116"/>
      <c r="D74" s="126"/>
      <c r="E74" s="118">
        <f t="shared" si="2"/>
        <v>105891.00959791515</v>
      </c>
      <c r="F74" s="4"/>
      <c r="G74" s="4"/>
      <c r="H74" s="4"/>
      <c r="I74" s="4"/>
      <c r="J74" s="4"/>
      <c r="K74" s="4"/>
      <c r="L74" s="4"/>
      <c r="M74" s="4"/>
      <c r="N74" s="4"/>
      <c r="O74" s="4"/>
      <c r="P74" s="4"/>
      <c r="Q74" s="4"/>
      <c r="R74" s="4"/>
      <c r="S74" s="4"/>
      <c r="T74" s="4"/>
      <c r="U74" s="4"/>
      <c r="V74" s="4"/>
      <c r="W74" s="4"/>
      <c r="X74" s="4"/>
      <c r="Y74" s="4"/>
    </row>
    <row r="75" spans="1:25" ht="12.75" customHeight="1">
      <c r="A75" s="141" t="s">
        <v>235</v>
      </c>
      <c r="B75" s="117">
        <v>7426</v>
      </c>
      <c r="C75" s="116"/>
      <c r="D75" s="126"/>
      <c r="E75" s="118">
        <f t="shared" si="2"/>
        <v>7426</v>
      </c>
      <c r="F75" s="4"/>
      <c r="G75" s="4"/>
      <c r="H75" s="4"/>
      <c r="I75" s="4"/>
      <c r="J75" s="4"/>
      <c r="K75" s="4"/>
      <c r="L75" s="4"/>
      <c r="M75" s="4"/>
      <c r="N75" s="4"/>
      <c r="O75" s="4"/>
      <c r="P75" s="4"/>
      <c r="Q75" s="4"/>
      <c r="R75" s="4"/>
      <c r="S75" s="4"/>
      <c r="T75" s="4"/>
      <c r="U75" s="4"/>
      <c r="V75" s="4"/>
      <c r="W75" s="4"/>
      <c r="X75" s="4"/>
      <c r="Y75" s="4"/>
    </row>
    <row r="76" spans="1:25" ht="12.75" customHeight="1">
      <c r="A76" s="141" t="s">
        <v>236</v>
      </c>
      <c r="B76" s="333">
        <v>77000</v>
      </c>
      <c r="C76" s="116"/>
      <c r="D76" s="360"/>
      <c r="E76" s="118">
        <f t="shared" si="2"/>
        <v>77000</v>
      </c>
      <c r="F76" s="4"/>
      <c r="G76" s="4"/>
      <c r="H76" s="4"/>
      <c r="I76" s="4"/>
      <c r="J76" s="4"/>
      <c r="K76" s="4"/>
      <c r="L76" s="4"/>
      <c r="M76" s="4"/>
      <c r="N76" s="4"/>
      <c r="O76" s="4"/>
      <c r="P76" s="4"/>
      <c r="Q76" s="4"/>
      <c r="R76" s="4"/>
      <c r="S76" s="4"/>
      <c r="T76" s="4"/>
      <c r="U76" s="4"/>
      <c r="V76" s="4"/>
      <c r="W76" s="4"/>
      <c r="X76" s="4"/>
      <c r="Y76" s="4"/>
    </row>
    <row r="77" spans="1:25" ht="12.75" customHeight="1">
      <c r="A77" s="155" t="s">
        <v>217</v>
      </c>
      <c r="B77" s="123">
        <f>SUM(B33:B76)</f>
        <v>2642430.9319062294</v>
      </c>
      <c r="C77" s="123">
        <f>SUM(C33:C74)</f>
        <v>58420.480000000003</v>
      </c>
      <c r="D77" s="123">
        <f t="shared" ref="D77:E77" si="3">SUM(D33:D76)</f>
        <v>0</v>
      </c>
      <c r="E77" s="123">
        <f t="shared" si="3"/>
        <v>2700851.4119062293</v>
      </c>
      <c r="F77" s="4"/>
      <c r="G77" s="4"/>
      <c r="H77" s="4"/>
      <c r="I77" s="4"/>
      <c r="J77" s="4"/>
      <c r="K77" s="4"/>
      <c r="L77" s="4"/>
      <c r="M77" s="4"/>
      <c r="N77" s="4"/>
      <c r="O77" s="4"/>
      <c r="P77" s="4"/>
      <c r="Q77" s="4"/>
      <c r="R77" s="4"/>
      <c r="S77" s="4"/>
      <c r="T77" s="4"/>
      <c r="U77" s="4"/>
      <c r="V77" s="4"/>
      <c r="W77" s="4"/>
      <c r="X77" s="4"/>
      <c r="Y77" s="4"/>
    </row>
    <row r="78" spans="1:25" ht="12.75" customHeight="1">
      <c r="A78" s="264"/>
      <c r="B78" s="329"/>
      <c r="C78" s="329"/>
      <c r="D78" s="329"/>
      <c r="E78" s="330"/>
      <c r="F78" s="4"/>
      <c r="G78" s="4"/>
      <c r="H78" s="4"/>
      <c r="I78" s="4"/>
      <c r="J78" s="4"/>
      <c r="K78" s="4"/>
      <c r="L78" s="4"/>
      <c r="M78" s="4"/>
      <c r="N78" s="4"/>
      <c r="O78" s="4"/>
      <c r="P78" s="4"/>
      <c r="Q78" s="4"/>
      <c r="R78" s="4"/>
      <c r="S78" s="4"/>
      <c r="T78" s="4"/>
      <c r="U78" s="4"/>
      <c r="V78" s="4"/>
      <c r="W78" s="4"/>
      <c r="X78" s="4"/>
      <c r="Y78" s="4"/>
    </row>
    <row r="79" spans="1:25" ht="12.75" customHeight="1">
      <c r="A79" s="165" t="s">
        <v>218</v>
      </c>
      <c r="B79" s="123">
        <f t="shared" ref="B79:E79" si="4">B30-B77</f>
        <v>4844.3080416494049</v>
      </c>
      <c r="C79" s="123">
        <f t="shared" si="4"/>
        <v>1500</v>
      </c>
      <c r="D79" s="123">
        <f t="shared" si="4"/>
        <v>0</v>
      </c>
      <c r="E79" s="123">
        <f t="shared" si="4"/>
        <v>6344.3080416494049</v>
      </c>
      <c r="F79" s="4"/>
      <c r="G79" s="4"/>
      <c r="H79" s="4"/>
      <c r="I79" s="4"/>
      <c r="J79" s="4"/>
      <c r="K79" s="4"/>
      <c r="L79" s="4"/>
      <c r="M79" s="4"/>
      <c r="N79" s="4"/>
      <c r="O79" s="4"/>
      <c r="P79" s="4"/>
      <c r="Q79" s="4"/>
      <c r="R79" s="4"/>
      <c r="S79" s="4"/>
      <c r="T79" s="4"/>
      <c r="U79" s="4"/>
      <c r="V79" s="4"/>
      <c r="W79" s="4"/>
      <c r="X79" s="4"/>
      <c r="Y79" s="4"/>
    </row>
    <row r="80" spans="1:25" ht="12.75" customHeight="1">
      <c r="A80" s="264"/>
      <c r="B80" s="329"/>
      <c r="C80" s="329"/>
      <c r="D80" s="329"/>
      <c r="E80" s="330"/>
      <c r="F80" s="4"/>
      <c r="G80" s="4"/>
      <c r="H80" s="4"/>
      <c r="I80" s="4"/>
      <c r="J80" s="4"/>
      <c r="K80" s="4"/>
      <c r="L80" s="4"/>
      <c r="M80" s="4"/>
      <c r="N80" s="4"/>
      <c r="O80" s="4"/>
      <c r="P80" s="4"/>
      <c r="Q80" s="4"/>
      <c r="R80" s="4"/>
      <c r="S80" s="4"/>
      <c r="T80" s="4"/>
      <c r="U80" s="4"/>
      <c r="V80" s="4"/>
      <c r="W80" s="4"/>
      <c r="X80" s="4"/>
      <c r="Y80" s="4"/>
    </row>
    <row r="81" spans="1:25" ht="12.75" customHeight="1">
      <c r="A81" s="336" t="s">
        <v>219</v>
      </c>
      <c r="B81" s="329"/>
      <c r="C81" s="329"/>
      <c r="D81" s="133"/>
      <c r="E81" s="118">
        <f>SUM(B81:D81)</f>
        <v>0</v>
      </c>
      <c r="F81" s="4"/>
      <c r="G81" s="4"/>
      <c r="H81" s="4"/>
      <c r="I81" s="4"/>
      <c r="J81" s="4"/>
      <c r="K81" s="4"/>
      <c r="L81" s="4"/>
      <c r="M81" s="4"/>
      <c r="N81" s="4"/>
      <c r="O81" s="4"/>
      <c r="P81" s="4"/>
      <c r="Q81" s="4"/>
      <c r="R81" s="4"/>
      <c r="S81" s="4"/>
      <c r="T81" s="4"/>
      <c r="U81" s="4"/>
      <c r="V81" s="4"/>
      <c r="W81" s="4"/>
      <c r="X81" s="4"/>
      <c r="Y81" s="4"/>
    </row>
    <row r="82" spans="1:25" ht="12.75" customHeight="1">
      <c r="A82" s="327"/>
      <c r="B82" s="329"/>
      <c r="C82" s="329"/>
      <c r="D82" s="133"/>
      <c r="E82" s="330"/>
      <c r="F82" s="4"/>
      <c r="G82" s="4"/>
      <c r="H82" s="4"/>
      <c r="I82" s="4"/>
      <c r="J82" s="4"/>
      <c r="K82" s="4"/>
      <c r="L82" s="4"/>
      <c r="M82" s="4"/>
      <c r="N82" s="4"/>
      <c r="O82" s="4"/>
      <c r="P82" s="4"/>
      <c r="Q82" s="4"/>
      <c r="R82" s="4"/>
      <c r="S82" s="4"/>
      <c r="T82" s="4"/>
      <c r="U82" s="4"/>
      <c r="V82" s="4"/>
      <c r="W82" s="4"/>
      <c r="X82" s="4"/>
      <c r="Y82" s="4"/>
    </row>
    <row r="83" spans="1:25" ht="12.75" customHeight="1">
      <c r="A83" s="338"/>
      <c r="B83" s="348"/>
      <c r="C83" s="329"/>
      <c r="D83" s="329"/>
      <c r="E83" s="330"/>
      <c r="F83" s="4"/>
      <c r="G83" s="4"/>
      <c r="H83" s="4"/>
      <c r="I83" s="4"/>
      <c r="J83" s="4"/>
      <c r="K83" s="4"/>
      <c r="L83" s="4"/>
      <c r="M83" s="4"/>
      <c r="N83" s="4"/>
      <c r="O83" s="4"/>
      <c r="P83" s="4"/>
      <c r="Q83" s="4"/>
      <c r="R83" s="4"/>
      <c r="S83" s="4"/>
      <c r="T83" s="4"/>
      <c r="U83" s="4"/>
      <c r="V83" s="4"/>
      <c r="W83" s="4"/>
      <c r="X83" s="4"/>
      <c r="Y83" s="4"/>
    </row>
    <row r="84" spans="1:25" ht="12.75" customHeight="1">
      <c r="A84" s="155" t="s">
        <v>220</v>
      </c>
      <c r="B84" s="152">
        <f t="shared" ref="B84:E84" si="5">SUM(B79:B83)</f>
        <v>4844.3080416494049</v>
      </c>
      <c r="C84" s="152">
        <f t="shared" si="5"/>
        <v>1500</v>
      </c>
      <c r="D84" s="152">
        <f t="shared" si="5"/>
        <v>0</v>
      </c>
      <c r="E84" s="152">
        <f t="shared" si="5"/>
        <v>6344.3080416494049</v>
      </c>
      <c r="F84" s="4"/>
      <c r="G84" s="4"/>
      <c r="H84" s="4"/>
      <c r="I84" s="4"/>
      <c r="J84" s="4"/>
      <c r="K84" s="4"/>
      <c r="L84" s="4"/>
      <c r="M84" s="4"/>
      <c r="N84" s="4"/>
      <c r="O84" s="4"/>
      <c r="P84" s="4"/>
      <c r="Q84" s="4"/>
      <c r="R84" s="4"/>
      <c r="S84" s="4"/>
      <c r="T84" s="4"/>
      <c r="U84" s="4"/>
      <c r="V84" s="4"/>
      <c r="W84" s="4"/>
      <c r="X84" s="4"/>
      <c r="Y84" s="4"/>
    </row>
    <row r="85" spans="1:25" ht="12.75" customHeight="1">
      <c r="A85" s="343"/>
      <c r="B85" s="344"/>
      <c r="C85" s="344"/>
      <c r="D85" s="344"/>
      <c r="E85" s="153"/>
      <c r="F85" s="4"/>
      <c r="G85" s="4"/>
      <c r="H85" s="4"/>
      <c r="I85" s="4"/>
      <c r="J85" s="4"/>
      <c r="K85" s="4"/>
      <c r="L85" s="4"/>
      <c r="M85" s="4"/>
      <c r="N85" s="4"/>
      <c r="O85" s="4"/>
      <c r="P85" s="4"/>
      <c r="Q85" s="4"/>
      <c r="R85" s="4"/>
      <c r="S85" s="4"/>
      <c r="T85" s="4"/>
      <c r="U85" s="4"/>
      <c r="V85" s="4"/>
      <c r="W85" s="4"/>
      <c r="X85" s="4"/>
      <c r="Y85" s="4"/>
    </row>
    <row r="86" spans="1:25" ht="12.75" customHeight="1">
      <c r="A86" s="264" t="s">
        <v>221</v>
      </c>
      <c r="B86" s="344"/>
      <c r="C86" s="344"/>
      <c r="D86" s="344"/>
      <c r="E86" s="132">
        <f>'Page 8-Year 4'!E87</f>
        <v>223315.79617069557</v>
      </c>
      <c r="F86" s="4"/>
      <c r="G86" s="4"/>
      <c r="H86" s="4"/>
      <c r="I86" s="4"/>
      <c r="J86" s="4"/>
      <c r="K86" s="4"/>
      <c r="L86" s="4"/>
      <c r="M86" s="4"/>
      <c r="N86" s="4"/>
      <c r="O86" s="4"/>
      <c r="P86" s="4"/>
      <c r="Q86" s="4"/>
      <c r="R86" s="4"/>
      <c r="S86" s="4"/>
      <c r="T86" s="4"/>
      <c r="U86" s="4"/>
      <c r="V86" s="4"/>
      <c r="W86" s="4"/>
      <c r="X86" s="4"/>
      <c r="Y86" s="4"/>
    </row>
    <row r="87" spans="1:25" ht="12.75" customHeight="1">
      <c r="A87" s="264" t="s">
        <v>222</v>
      </c>
      <c r="B87" s="344"/>
      <c r="C87" s="344"/>
      <c r="D87" s="344"/>
      <c r="E87" s="132">
        <f>E86+E84</f>
        <v>229660.10421234497</v>
      </c>
      <c r="F87" s="4"/>
      <c r="G87" s="4"/>
      <c r="H87" s="4"/>
      <c r="I87" s="4"/>
      <c r="J87" s="4"/>
      <c r="K87" s="4"/>
      <c r="L87" s="4"/>
      <c r="M87" s="4"/>
      <c r="N87" s="4"/>
      <c r="O87" s="4"/>
      <c r="P87" s="4"/>
      <c r="Q87" s="4"/>
      <c r="R87" s="4"/>
      <c r="S87" s="4"/>
      <c r="T87" s="4"/>
      <c r="U87" s="4"/>
      <c r="V87" s="4"/>
      <c r="W87" s="4"/>
      <c r="X87" s="4"/>
      <c r="Y87" s="4"/>
    </row>
    <row r="88" spans="1:25" ht="30.75" customHeight="1">
      <c r="A88" s="338" t="s">
        <v>223</v>
      </c>
      <c r="B88" s="344"/>
      <c r="C88" s="344"/>
      <c r="D88" s="344"/>
      <c r="E88" s="133">
        <f>B97</f>
        <v>98472.927957186883</v>
      </c>
      <c r="F88" s="4"/>
      <c r="G88" s="4"/>
      <c r="H88" s="4"/>
      <c r="I88" s="4"/>
      <c r="J88" s="4"/>
      <c r="K88" s="4"/>
      <c r="L88" s="4"/>
      <c r="M88" s="4"/>
      <c r="N88" s="4"/>
      <c r="O88" s="4"/>
      <c r="P88" s="4"/>
      <c r="Q88" s="4"/>
      <c r="R88" s="4"/>
      <c r="S88" s="4"/>
      <c r="T88" s="4"/>
      <c r="U88" s="4"/>
      <c r="V88" s="4"/>
      <c r="W88" s="4"/>
      <c r="X88" s="4"/>
      <c r="Y88" s="4"/>
    </row>
    <row r="89" spans="1:25" ht="12.75" customHeight="1">
      <c r="A89" s="338" t="s">
        <v>224</v>
      </c>
      <c r="B89" s="344"/>
      <c r="C89" s="344"/>
      <c r="D89" s="344"/>
      <c r="E89" s="133">
        <f>E87-E88</f>
        <v>131187.17625515809</v>
      </c>
      <c r="F89" s="4"/>
      <c r="G89" s="4"/>
      <c r="H89" s="4"/>
      <c r="I89" s="4"/>
      <c r="J89" s="4"/>
      <c r="K89" s="4"/>
      <c r="L89" s="4"/>
      <c r="M89" s="4"/>
      <c r="N89" s="4"/>
      <c r="O89" s="4"/>
      <c r="P89" s="4"/>
      <c r="Q89" s="4"/>
      <c r="R89" s="4"/>
      <c r="S89" s="4"/>
      <c r="T89" s="4"/>
      <c r="U89" s="4"/>
      <c r="V89" s="4"/>
      <c r="W89" s="4"/>
      <c r="X89" s="4"/>
      <c r="Y89" s="4"/>
    </row>
    <row r="90" spans="1:25" ht="12.75" customHeight="1">
      <c r="A90" s="338" t="s">
        <v>225</v>
      </c>
      <c r="B90" s="258"/>
      <c r="C90" s="258"/>
      <c r="D90" s="258"/>
      <c r="E90" s="134">
        <f>E89/E77</f>
        <v>4.857252630664629E-2</v>
      </c>
      <c r="F90" s="4"/>
      <c r="G90" s="4"/>
      <c r="H90" s="4"/>
      <c r="I90" s="4"/>
      <c r="J90" s="4"/>
      <c r="K90" s="4"/>
      <c r="L90" s="4"/>
      <c r="M90" s="4"/>
      <c r="N90" s="4"/>
      <c r="O90" s="4"/>
      <c r="P90" s="4"/>
      <c r="Q90" s="4"/>
      <c r="R90" s="4"/>
      <c r="S90" s="4"/>
      <c r="T90" s="4"/>
      <c r="U90" s="4"/>
      <c r="V90" s="4"/>
      <c r="W90" s="4"/>
      <c r="X90" s="4"/>
      <c r="Y90" s="4"/>
    </row>
    <row r="91" spans="1:25" ht="12.75" customHeight="1">
      <c r="A91" s="135"/>
      <c r="B91" s="259"/>
      <c r="C91" s="259"/>
      <c r="D91" s="259"/>
      <c r="E91" s="57"/>
      <c r="F91" s="4"/>
      <c r="G91" s="4"/>
      <c r="H91" s="4"/>
      <c r="I91" s="4"/>
      <c r="J91" s="4"/>
      <c r="K91" s="4"/>
      <c r="L91" s="4"/>
      <c r="M91" s="4"/>
      <c r="N91" s="4"/>
      <c r="O91" s="4"/>
      <c r="P91" s="4"/>
      <c r="Q91" s="4"/>
      <c r="R91" s="4"/>
      <c r="S91" s="4"/>
      <c r="T91" s="4"/>
      <c r="U91" s="4"/>
      <c r="V91" s="4"/>
      <c r="W91" s="4"/>
      <c r="X91" s="4"/>
      <c r="Y91" s="4"/>
    </row>
    <row r="92" spans="1:25" ht="12.75" customHeight="1"/>
    <row r="93" spans="1:25" ht="12.75" customHeight="1"/>
    <row r="94" spans="1:25" ht="12.75" customHeight="1">
      <c r="A94" s="339" t="s">
        <v>226</v>
      </c>
      <c r="B94" s="136">
        <f>100*'Page 1-Enrollment Plan'!F21</f>
        <v>19200</v>
      </c>
    </row>
    <row r="95" spans="1:25" ht="12.75" customHeight="1">
      <c r="A95" s="339" t="s">
        <v>227</v>
      </c>
      <c r="B95" s="136">
        <f>B77*0.03</f>
        <v>79272.927957186883</v>
      </c>
    </row>
    <row r="96" spans="1:25" ht="12.75" customHeight="1">
      <c r="A96" s="339" t="s">
        <v>228</v>
      </c>
      <c r="B96" s="136">
        <v>0</v>
      </c>
    </row>
    <row r="97" spans="1:2" ht="12.75" customHeight="1">
      <c r="A97" s="339" t="s">
        <v>229</v>
      </c>
      <c r="B97" s="136">
        <f>SUM(B94:B96)</f>
        <v>98472.927957186883</v>
      </c>
    </row>
    <row r="98" spans="1:2" ht="12.75" customHeight="1"/>
    <row r="99" spans="1:2" ht="12.75" customHeight="1"/>
    <row r="100" spans="1:2" ht="12.75" customHeight="1"/>
    <row r="101" spans="1:2" ht="12.75" customHeight="1"/>
    <row r="102" spans="1:2" ht="12.75" customHeight="1"/>
    <row r="103" spans="1:2" ht="12.75" customHeight="1"/>
    <row r="104" spans="1:2" ht="12.75" customHeight="1"/>
    <row r="105" spans="1:2" ht="12.75" customHeight="1"/>
    <row r="106" spans="1:2" ht="12.75" customHeight="1"/>
    <row r="107" spans="1:2" ht="12.75" customHeight="1"/>
    <row r="108" spans="1:2" ht="12.75" customHeight="1"/>
    <row r="109" spans="1:2" ht="12.75" customHeight="1"/>
    <row r="110" spans="1:2" ht="12.75" customHeight="1"/>
    <row r="111" spans="1:2" ht="12.75" customHeight="1"/>
    <row r="112" spans="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B3:E3"/>
  </mergeCells>
  <printOptions horizontalCentered="1"/>
  <pageMargins left="0.25" right="0.25" top="0.42013888888888901" bottom="0.69027777777777799"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1000"/>
  <sheetViews>
    <sheetView workbookViewId="0"/>
  </sheetViews>
  <sheetFormatPr defaultColWidth="12.5703125" defaultRowHeight="15" customHeight="1"/>
  <cols>
    <col min="1" max="1" width="36.42578125" customWidth="1"/>
    <col min="2" max="7" width="12.85546875" customWidth="1"/>
    <col min="8" max="8" width="0.5703125" customWidth="1"/>
    <col min="9" max="9" width="11.42578125" hidden="1" customWidth="1"/>
    <col min="10" max="10" width="62.5703125" hidden="1" customWidth="1"/>
    <col min="11" max="26" width="8.5703125" hidden="1" customWidth="1"/>
  </cols>
  <sheetData>
    <row r="1" spans="1:26" ht="12.75" customHeight="1">
      <c r="A1" s="167">
        <f>'Page 3-Assumptions'!A1</f>
        <v>0</v>
      </c>
      <c r="B1" s="168"/>
      <c r="C1" s="168"/>
      <c r="D1" s="168"/>
      <c r="E1" s="168"/>
      <c r="F1" s="168"/>
      <c r="G1" s="168"/>
      <c r="H1" s="169"/>
      <c r="I1" s="4"/>
      <c r="J1" s="167">
        <f>'Page 3-Assumptions'!J1</f>
        <v>0</v>
      </c>
      <c r="K1" s="168"/>
      <c r="L1" s="168"/>
      <c r="M1" s="168"/>
      <c r="N1" s="168"/>
      <c r="O1" s="168"/>
      <c r="P1" s="168"/>
      <c r="Q1" s="4"/>
      <c r="R1" s="4"/>
      <c r="S1" s="4"/>
      <c r="T1" s="4"/>
      <c r="U1" s="4"/>
      <c r="V1" s="4"/>
      <c r="W1" s="4"/>
      <c r="X1" s="4"/>
      <c r="Y1" s="4"/>
      <c r="Z1" s="4"/>
    </row>
    <row r="2" spans="1:26" ht="18.600000000000001">
      <c r="A2" s="170" t="s">
        <v>239</v>
      </c>
      <c r="B2" s="258"/>
      <c r="C2" s="258"/>
      <c r="D2" s="258"/>
      <c r="E2" s="258"/>
      <c r="F2" s="258"/>
      <c r="G2" s="258"/>
      <c r="H2" s="171"/>
      <c r="I2" s="4"/>
      <c r="J2" s="170" t="s">
        <v>240</v>
      </c>
      <c r="K2" s="258"/>
      <c r="L2" s="258"/>
      <c r="M2" s="258"/>
      <c r="N2" s="258"/>
      <c r="O2" s="258"/>
      <c r="P2" s="258"/>
      <c r="Q2" s="4"/>
      <c r="R2" s="4"/>
      <c r="S2" s="4"/>
      <c r="T2" s="4"/>
      <c r="U2" s="4"/>
      <c r="V2" s="4"/>
      <c r="W2" s="4"/>
      <c r="X2" s="4"/>
      <c r="Y2" s="4"/>
      <c r="Z2" s="4"/>
    </row>
    <row r="3" spans="1:26" ht="5.25" customHeight="1">
      <c r="A3" s="170"/>
      <c r="B3" s="258"/>
      <c r="C3" s="258" t="s">
        <v>0</v>
      </c>
      <c r="D3" s="258"/>
      <c r="E3" s="258"/>
      <c r="F3" s="258"/>
      <c r="G3" s="258"/>
      <c r="H3" s="171"/>
      <c r="I3" s="4"/>
      <c r="J3" s="170"/>
      <c r="K3" s="258"/>
      <c r="L3" s="258" t="s">
        <v>0</v>
      </c>
      <c r="M3" s="258"/>
      <c r="N3" s="258"/>
      <c r="O3" s="258"/>
      <c r="P3" s="258"/>
      <c r="Q3" s="4"/>
      <c r="R3" s="4"/>
      <c r="S3" s="4"/>
      <c r="T3" s="4"/>
      <c r="U3" s="4"/>
      <c r="V3" s="4"/>
      <c r="W3" s="4"/>
      <c r="X3" s="4"/>
      <c r="Y3" s="4"/>
      <c r="Z3" s="4"/>
    </row>
    <row r="4" spans="1:26" ht="20.25" customHeight="1">
      <c r="A4" s="172"/>
      <c r="B4" s="173" t="s">
        <v>241</v>
      </c>
      <c r="C4" s="173" t="s">
        <v>8</v>
      </c>
      <c r="D4" s="173" t="s">
        <v>9</v>
      </c>
      <c r="E4" s="173" t="s">
        <v>10</v>
      </c>
      <c r="F4" s="173" t="s">
        <v>11</v>
      </c>
      <c r="G4" s="173" t="s">
        <v>12</v>
      </c>
      <c r="H4" s="174"/>
      <c r="I4" s="175"/>
      <c r="J4" s="172"/>
      <c r="K4" s="173" t="s">
        <v>241</v>
      </c>
      <c r="L4" s="173" t="s">
        <v>8</v>
      </c>
      <c r="M4" s="173" t="s">
        <v>9</v>
      </c>
      <c r="N4" s="173" t="s">
        <v>10</v>
      </c>
      <c r="O4" s="173" t="s">
        <v>11</v>
      </c>
      <c r="P4" s="173" t="s">
        <v>12</v>
      </c>
      <c r="Q4" s="175"/>
      <c r="R4" s="175"/>
      <c r="S4" s="175"/>
      <c r="T4" s="175"/>
      <c r="U4" s="175"/>
      <c r="V4" s="175"/>
      <c r="W4" s="175"/>
      <c r="X4" s="175"/>
      <c r="Y4" s="175"/>
      <c r="Z4" s="175"/>
    </row>
    <row r="5" spans="1:26" ht="12.75" customHeight="1">
      <c r="A5" s="176" t="s">
        <v>155</v>
      </c>
      <c r="B5" s="173"/>
      <c r="C5" s="177">
        <f>'Page 5-Year 1'!E5</f>
        <v>72</v>
      </c>
      <c r="D5" s="177">
        <f>'Page 6-Year 2'!E5</f>
        <v>96</v>
      </c>
      <c r="E5" s="177">
        <f>'Page 7-Year 3'!E5</f>
        <v>144</v>
      </c>
      <c r="F5" s="177">
        <f>'Page 8-Year 4'!E5</f>
        <v>160</v>
      </c>
      <c r="G5" s="178">
        <f>'Page 9-Year 5'!E5</f>
        <v>192</v>
      </c>
      <c r="H5" s="174"/>
      <c r="I5" s="175"/>
      <c r="J5" s="176" t="s">
        <v>155</v>
      </c>
      <c r="K5" s="173"/>
      <c r="L5" s="177">
        <f>'Page 5-Year 1'!M5</f>
        <v>0</v>
      </c>
      <c r="M5" s="177">
        <f>'Page 6-Year 2'!M5</f>
        <v>0</v>
      </c>
      <c r="N5" s="177">
        <f>'Page 7-Year 3'!M5</f>
        <v>0</v>
      </c>
      <c r="O5" s="177">
        <f>'Page 8-Year 4'!M5</f>
        <v>0</v>
      </c>
      <c r="P5" s="177">
        <f>'Page 9-Year 5'!M5</f>
        <v>0</v>
      </c>
      <c r="Q5" s="175"/>
      <c r="R5" s="175"/>
      <c r="S5" s="175"/>
      <c r="T5" s="175"/>
      <c r="U5" s="175"/>
      <c r="V5" s="175"/>
      <c r="W5" s="175"/>
      <c r="X5" s="175"/>
      <c r="Y5" s="175"/>
      <c r="Z5" s="175"/>
    </row>
    <row r="6" spans="1:26" ht="12.75" customHeight="1">
      <c r="A6" s="176" t="s">
        <v>156</v>
      </c>
      <c r="B6" s="177" t="str">
        <f>'Page 4-Year 0'!D6</f>
        <v>N/A</v>
      </c>
      <c r="C6" s="177">
        <f>'Page 5-Year 1'!E6</f>
        <v>60</v>
      </c>
      <c r="D6" s="177">
        <f>'Page 6-Year 2'!E6</f>
        <v>76</v>
      </c>
      <c r="E6" s="177">
        <f>'Page 7-Year 3'!E6</f>
        <v>104</v>
      </c>
      <c r="F6" s="177">
        <f>'Page 8-Year 4'!E6</f>
        <v>120</v>
      </c>
      <c r="G6" s="177">
        <f>'Page 9-Year 5'!E6</f>
        <v>132</v>
      </c>
      <c r="H6" s="174"/>
      <c r="I6" s="175"/>
      <c r="J6" s="176" t="s">
        <v>156</v>
      </c>
      <c r="K6" s="177">
        <f>'Page 4-Year 0'!L6</f>
        <v>0</v>
      </c>
      <c r="L6" s="177">
        <f>'Page 5-Year 1'!M6</f>
        <v>0</v>
      </c>
      <c r="M6" s="177">
        <f>'Page 6-Year 2'!M6</f>
        <v>0</v>
      </c>
      <c r="N6" s="177">
        <f>'Page 7-Year 3'!M6</f>
        <v>0</v>
      </c>
      <c r="O6" s="177">
        <f>'Page 8-Year 4'!M6</f>
        <v>0</v>
      </c>
      <c r="P6" s="177">
        <f>'Page 9-Year 5'!M6</f>
        <v>0</v>
      </c>
      <c r="Q6" s="175"/>
      <c r="R6" s="175"/>
      <c r="S6" s="175"/>
      <c r="T6" s="175"/>
      <c r="U6" s="175"/>
      <c r="V6" s="175"/>
      <c r="W6" s="175"/>
      <c r="X6" s="175"/>
      <c r="Y6" s="175"/>
      <c r="Z6" s="175"/>
    </row>
    <row r="7" spans="1:26" ht="13.5" customHeight="1">
      <c r="A7" s="172" t="s">
        <v>53</v>
      </c>
      <c r="B7" s="362"/>
      <c r="C7" s="362"/>
      <c r="D7" s="362"/>
      <c r="E7" s="362"/>
      <c r="F7" s="179"/>
      <c r="G7" s="362"/>
      <c r="H7" s="174"/>
      <c r="I7" s="175"/>
      <c r="J7" s="172" t="s">
        <v>53</v>
      </c>
      <c r="K7" s="362"/>
      <c r="L7" s="362"/>
      <c r="M7" s="362"/>
      <c r="N7" s="362"/>
      <c r="O7" s="179"/>
      <c r="P7" s="362"/>
      <c r="Q7" s="175"/>
      <c r="R7" s="175"/>
      <c r="S7" s="175"/>
      <c r="T7" s="175"/>
      <c r="U7" s="175"/>
      <c r="V7" s="175"/>
      <c r="W7" s="175"/>
      <c r="X7" s="175"/>
      <c r="Y7" s="175"/>
      <c r="Z7" s="175"/>
    </row>
    <row r="8" spans="1:26" ht="12.75" customHeight="1">
      <c r="A8" s="363" t="s">
        <v>157</v>
      </c>
      <c r="B8" s="180">
        <f>'Page 4-Year 0'!D8</f>
        <v>220000</v>
      </c>
      <c r="C8" s="180">
        <f>'Page 5-Year 1'!E8</f>
        <v>0</v>
      </c>
      <c r="D8" s="180">
        <f>'Page 6-Year 2'!E8</f>
        <v>110000</v>
      </c>
      <c r="E8" s="180">
        <f>'Page 7-Year 3'!E8</f>
        <v>0</v>
      </c>
      <c r="F8" s="180">
        <f>'Page 8-Year 4'!E8</f>
        <v>110000</v>
      </c>
      <c r="G8" s="180">
        <f>'Page 9-Year 5'!E8</f>
        <v>0</v>
      </c>
      <c r="H8" s="181"/>
      <c r="I8" s="182"/>
      <c r="J8" s="183" t="s">
        <v>157</v>
      </c>
      <c r="K8" s="364">
        <f>'Page 4-Year 0'!L8</f>
        <v>0</v>
      </c>
      <c r="L8" s="364">
        <f t="shared" ref="L8:P8" si="0">C8-B8</f>
        <v>-220000</v>
      </c>
      <c r="M8" s="364">
        <f t="shared" si="0"/>
        <v>110000</v>
      </c>
      <c r="N8" s="364">
        <f t="shared" si="0"/>
        <v>-110000</v>
      </c>
      <c r="O8" s="364">
        <f t="shared" si="0"/>
        <v>110000</v>
      </c>
      <c r="P8" s="364">
        <f t="shared" si="0"/>
        <v>-110000</v>
      </c>
      <c r="Q8" s="182"/>
      <c r="R8" s="182"/>
      <c r="S8" s="182"/>
      <c r="T8" s="182"/>
      <c r="U8" s="182"/>
      <c r="V8" s="182"/>
      <c r="W8" s="182"/>
      <c r="X8" s="182"/>
      <c r="Y8" s="182"/>
      <c r="Z8" s="182"/>
    </row>
    <row r="9" spans="1:26" ht="12.75" customHeight="1">
      <c r="A9" s="363" t="s">
        <v>158</v>
      </c>
      <c r="B9" s="184">
        <f>'Page 4-Year 0'!D9</f>
        <v>0</v>
      </c>
      <c r="C9" s="184">
        <f>'Page 5-Year 1'!E9</f>
        <v>63403.77</v>
      </c>
      <c r="D9" s="184">
        <f>'Page 6-Year 2'!E9</f>
        <v>105672.95</v>
      </c>
      <c r="E9" s="184">
        <f>'Page 7-Year 3'!E9</f>
        <v>211345.9</v>
      </c>
      <c r="F9" s="184">
        <f>'Page 8-Year 4'!E9</f>
        <v>211345.9</v>
      </c>
      <c r="G9" s="184">
        <f>'Page 9-Year 5'!E9</f>
        <v>317018.84999999998</v>
      </c>
      <c r="H9" s="181"/>
      <c r="I9" s="182"/>
      <c r="J9" s="183" t="s">
        <v>158</v>
      </c>
      <c r="K9" s="365">
        <f>'Page 4-Year 0'!L9</f>
        <v>0</v>
      </c>
      <c r="L9" s="364">
        <f t="shared" ref="L9:P9" si="1">C9-B9</f>
        <v>63403.77</v>
      </c>
      <c r="M9" s="364">
        <f t="shared" si="1"/>
        <v>42269.18</v>
      </c>
      <c r="N9" s="364">
        <f t="shared" si="1"/>
        <v>105672.95</v>
      </c>
      <c r="O9" s="364">
        <f t="shared" si="1"/>
        <v>0</v>
      </c>
      <c r="P9" s="364">
        <f t="shared" si="1"/>
        <v>105672.94999999998</v>
      </c>
      <c r="Q9" s="182"/>
      <c r="R9" s="182"/>
      <c r="S9" s="182"/>
      <c r="T9" s="182"/>
      <c r="U9" s="182"/>
      <c r="V9" s="182"/>
      <c r="W9" s="182"/>
      <c r="X9" s="182"/>
      <c r="Y9" s="182"/>
      <c r="Z9" s="182"/>
    </row>
    <row r="10" spans="1:26" ht="12.75" customHeight="1">
      <c r="A10" s="363" t="s">
        <v>159</v>
      </c>
      <c r="B10" s="184">
        <f>'Page 4-Year 0'!D10</f>
        <v>0</v>
      </c>
      <c r="C10" s="184">
        <f>'Page 5-Year 1'!E10</f>
        <v>0</v>
      </c>
      <c r="D10" s="184">
        <f>'Page 6-Year 2'!E10</f>
        <v>0</v>
      </c>
      <c r="E10" s="184">
        <f>'Page 7-Year 3'!E10</f>
        <v>0</v>
      </c>
      <c r="F10" s="184">
        <f>'Page 8-Year 4'!E10</f>
        <v>0</v>
      </c>
      <c r="G10" s="184">
        <f>'Page 9-Year 5'!E10</f>
        <v>0</v>
      </c>
      <c r="H10" s="181"/>
      <c r="I10" s="182"/>
      <c r="J10" s="183" t="s">
        <v>159</v>
      </c>
      <c r="K10" s="365">
        <f>'Page 4-Year 0'!L10</f>
        <v>0</v>
      </c>
      <c r="L10" s="364">
        <f t="shared" ref="L10:P10" si="2">C10-B10</f>
        <v>0</v>
      </c>
      <c r="M10" s="364">
        <f t="shared" si="2"/>
        <v>0</v>
      </c>
      <c r="N10" s="364">
        <f t="shared" si="2"/>
        <v>0</v>
      </c>
      <c r="O10" s="364">
        <f t="shared" si="2"/>
        <v>0</v>
      </c>
      <c r="P10" s="364">
        <f t="shared" si="2"/>
        <v>0</v>
      </c>
      <c r="Q10" s="182"/>
      <c r="R10" s="182"/>
      <c r="S10" s="182"/>
      <c r="T10" s="182"/>
      <c r="U10" s="182"/>
      <c r="V10" s="182"/>
      <c r="W10" s="182"/>
      <c r="X10" s="182"/>
      <c r="Y10" s="182"/>
      <c r="Z10" s="182"/>
    </row>
    <row r="11" spans="1:26" ht="12.75" customHeight="1">
      <c r="A11" s="363" t="s">
        <v>160</v>
      </c>
      <c r="B11" s="184">
        <f>'Page 4-Year 0'!D11</f>
        <v>0</v>
      </c>
      <c r="C11" s="184">
        <f>'Page 5-Year 1'!E11</f>
        <v>0</v>
      </c>
      <c r="D11" s="184">
        <f>'Page 6-Year 2'!E11</f>
        <v>0</v>
      </c>
      <c r="E11" s="184">
        <f>'Page 7-Year 3'!E11</f>
        <v>0</v>
      </c>
      <c r="F11" s="184">
        <f>'Page 8-Year 4'!E11</f>
        <v>0</v>
      </c>
      <c r="G11" s="184">
        <f>'Page 9-Year 5'!E11</f>
        <v>0</v>
      </c>
      <c r="H11" s="181"/>
      <c r="I11" s="182"/>
      <c r="J11" s="183" t="s">
        <v>160</v>
      </c>
      <c r="K11" s="365">
        <f>'Page 4-Year 0'!L11</f>
        <v>0</v>
      </c>
      <c r="L11" s="364">
        <f t="shared" ref="L11:P11" si="3">C11-B11</f>
        <v>0</v>
      </c>
      <c r="M11" s="364">
        <f t="shared" si="3"/>
        <v>0</v>
      </c>
      <c r="N11" s="364">
        <f t="shared" si="3"/>
        <v>0</v>
      </c>
      <c r="O11" s="364">
        <f t="shared" si="3"/>
        <v>0</v>
      </c>
      <c r="P11" s="364">
        <f t="shared" si="3"/>
        <v>0</v>
      </c>
      <c r="Q11" s="182"/>
      <c r="R11" s="182"/>
      <c r="S11" s="182"/>
      <c r="T11" s="182"/>
      <c r="U11" s="182"/>
      <c r="V11" s="182"/>
      <c r="W11" s="182"/>
      <c r="X11" s="182"/>
      <c r="Y11" s="182"/>
      <c r="Z11" s="182"/>
    </row>
    <row r="12" spans="1:26" ht="12.75" customHeight="1">
      <c r="A12" s="366" t="s">
        <v>161</v>
      </c>
      <c r="B12" s="184">
        <f>'Page 4-Year 0'!D12</f>
        <v>0</v>
      </c>
      <c r="C12" s="184">
        <f>'Page 5-Year 1'!E12</f>
        <v>38016</v>
      </c>
      <c r="D12" s="184">
        <f>'Page 6-Year 2'!E12</f>
        <v>50688</v>
      </c>
      <c r="E12" s="184">
        <f>'Page 7-Year 3'!E12</f>
        <v>76032</v>
      </c>
      <c r="F12" s="184">
        <f>'Page 8-Year 4'!E12</f>
        <v>84480</v>
      </c>
      <c r="G12" s="184">
        <f>'Page 9-Year 5'!E12</f>
        <v>101376</v>
      </c>
      <c r="H12" s="181"/>
      <c r="I12" s="182"/>
      <c r="J12" s="183" t="s">
        <v>242</v>
      </c>
      <c r="K12" s="365">
        <f>'Page 4-Year 0'!L12</f>
        <v>0</v>
      </c>
      <c r="L12" s="364">
        <f t="shared" ref="L12:P12" si="4">C12-B12</f>
        <v>38016</v>
      </c>
      <c r="M12" s="364">
        <f t="shared" si="4"/>
        <v>12672</v>
      </c>
      <c r="N12" s="364">
        <f t="shared" si="4"/>
        <v>25344</v>
      </c>
      <c r="O12" s="364">
        <f t="shared" si="4"/>
        <v>8448</v>
      </c>
      <c r="P12" s="364">
        <f t="shared" si="4"/>
        <v>16896</v>
      </c>
      <c r="Q12" s="182"/>
      <c r="R12" s="182"/>
      <c r="S12" s="182"/>
      <c r="T12" s="182"/>
      <c r="U12" s="182"/>
      <c r="V12" s="182"/>
      <c r="W12" s="182"/>
      <c r="X12" s="182"/>
      <c r="Y12" s="182"/>
      <c r="Z12" s="182"/>
    </row>
    <row r="13" spans="1:26" ht="12.75" customHeight="1">
      <c r="A13" s="366" t="s">
        <v>162</v>
      </c>
      <c r="B13" s="184">
        <f>'Page 4-Year 0'!D13</f>
        <v>0</v>
      </c>
      <c r="C13" s="184">
        <f>'Page 5-Year 1'!E13</f>
        <v>90000</v>
      </c>
      <c r="D13" s="184">
        <f>'Page 6-Year 2'!E13</f>
        <v>120000</v>
      </c>
      <c r="E13" s="184">
        <f>'Page 7-Year 3'!E13</f>
        <v>180000</v>
      </c>
      <c r="F13" s="184">
        <f>'Page 8-Year 4'!E13</f>
        <v>200000</v>
      </c>
      <c r="G13" s="184">
        <f>'Page 9-Year 5'!E13</f>
        <v>240000</v>
      </c>
      <c r="H13" s="181"/>
      <c r="I13" s="182"/>
      <c r="J13" s="183" t="s">
        <v>243</v>
      </c>
      <c r="K13" s="365">
        <f>'Page 4-Year 0'!L13</f>
        <v>0</v>
      </c>
      <c r="L13" s="364">
        <f t="shared" ref="L13:P13" si="5">C13-B13</f>
        <v>90000</v>
      </c>
      <c r="M13" s="364">
        <f t="shared" si="5"/>
        <v>30000</v>
      </c>
      <c r="N13" s="364">
        <f t="shared" si="5"/>
        <v>60000</v>
      </c>
      <c r="O13" s="364">
        <f t="shared" si="5"/>
        <v>20000</v>
      </c>
      <c r="P13" s="364">
        <f t="shared" si="5"/>
        <v>40000</v>
      </c>
      <c r="Q13" s="182"/>
      <c r="R13" s="182"/>
      <c r="S13" s="182"/>
      <c r="T13" s="182"/>
      <c r="U13" s="182"/>
      <c r="V13" s="182"/>
      <c r="W13" s="182"/>
      <c r="X13" s="182"/>
      <c r="Y13" s="182"/>
      <c r="Z13" s="182"/>
    </row>
    <row r="14" spans="1:26" ht="12.75" customHeight="1">
      <c r="A14" s="367" t="s">
        <v>163</v>
      </c>
      <c r="B14" s="184">
        <f>'Page 4-Year 0'!D14</f>
        <v>75000</v>
      </c>
      <c r="C14" s="184">
        <f>'Page 5-Year 1'!E14</f>
        <v>0</v>
      </c>
      <c r="D14" s="184">
        <f>'Page 6-Year 2'!E14</f>
        <v>0</v>
      </c>
      <c r="E14" s="184">
        <f>'Page 7-Year 3'!E14</f>
        <v>0</v>
      </c>
      <c r="F14" s="184">
        <f>'Page 8-Year 4'!E14</f>
        <v>0</v>
      </c>
      <c r="G14" s="184">
        <f>'Page 9-Year 5'!E14</f>
        <v>0</v>
      </c>
      <c r="H14" s="181"/>
      <c r="I14" s="182"/>
      <c r="J14" s="185" t="s">
        <v>163</v>
      </c>
      <c r="K14" s="365">
        <f>'Page 4-Year 0'!L14</f>
        <v>0</v>
      </c>
      <c r="L14" s="364">
        <f t="shared" ref="L14:P14" si="6">C14-B14</f>
        <v>-75000</v>
      </c>
      <c r="M14" s="364">
        <f t="shared" si="6"/>
        <v>0</v>
      </c>
      <c r="N14" s="364">
        <f t="shared" si="6"/>
        <v>0</v>
      </c>
      <c r="O14" s="364">
        <f t="shared" si="6"/>
        <v>0</v>
      </c>
      <c r="P14" s="364">
        <f t="shared" si="6"/>
        <v>0</v>
      </c>
      <c r="Q14" s="182"/>
      <c r="R14" s="182"/>
      <c r="S14" s="182"/>
      <c r="T14" s="182"/>
      <c r="U14" s="182"/>
      <c r="V14" s="182"/>
      <c r="W14" s="182"/>
      <c r="X14" s="182"/>
      <c r="Y14" s="182"/>
      <c r="Z14" s="182"/>
    </row>
    <row r="15" spans="1:26" ht="12.75" customHeight="1">
      <c r="A15" s="367" t="s">
        <v>164</v>
      </c>
      <c r="B15" s="184">
        <f>'Page 4-Year 0'!D15</f>
        <v>0</v>
      </c>
      <c r="C15" s="184">
        <f>'Page 5-Year 1'!E15</f>
        <v>18000</v>
      </c>
      <c r="D15" s="184">
        <f>'Page 6-Year 2'!E15</f>
        <v>22572</v>
      </c>
      <c r="E15" s="184">
        <f>'Page 7-Year 3'!E15</f>
        <v>30579.119999999995</v>
      </c>
      <c r="F15" s="184">
        <f>'Page 8-Year 4'!E15</f>
        <v>34930.763999999996</v>
      </c>
      <c r="G15" s="184">
        <f>'Page 9-Year 5'!E15</f>
        <v>38039.601996000005</v>
      </c>
      <c r="H15" s="181"/>
      <c r="I15" s="182"/>
      <c r="J15" s="185" t="s">
        <v>164</v>
      </c>
      <c r="K15" s="365">
        <f>'Page 4-Year 0'!L15</f>
        <v>0</v>
      </c>
      <c r="L15" s="364">
        <f t="shared" ref="L15:P15" si="7">C15-B15</f>
        <v>18000</v>
      </c>
      <c r="M15" s="364">
        <f t="shared" si="7"/>
        <v>4572</v>
      </c>
      <c r="N15" s="364">
        <f t="shared" si="7"/>
        <v>8007.1199999999953</v>
      </c>
      <c r="O15" s="364">
        <f t="shared" si="7"/>
        <v>4351.6440000000002</v>
      </c>
      <c r="P15" s="364">
        <f t="shared" si="7"/>
        <v>3108.8379960000093</v>
      </c>
      <c r="Q15" s="182"/>
      <c r="R15" s="182"/>
      <c r="S15" s="182"/>
      <c r="T15" s="182"/>
      <c r="U15" s="182"/>
      <c r="V15" s="182"/>
      <c r="W15" s="182"/>
      <c r="X15" s="182"/>
      <c r="Y15" s="182"/>
      <c r="Z15" s="182"/>
    </row>
    <row r="16" spans="1:26" ht="12.75" customHeight="1">
      <c r="A16" s="367" t="s">
        <v>166</v>
      </c>
      <c r="B16" s="184">
        <f>'Page 4-Year 0'!D16</f>
        <v>0</v>
      </c>
      <c r="C16" s="184">
        <f>'Page 5-Year 1'!E16</f>
        <v>8624</v>
      </c>
      <c r="D16" s="184">
        <f>'Page 6-Year 2'!E16</f>
        <v>11088</v>
      </c>
      <c r="E16" s="184">
        <f>'Page 7-Year 3'!E16</f>
        <v>13552</v>
      </c>
      <c r="F16" s="184">
        <f>'Page 8-Year 4'!E16</f>
        <v>19712</v>
      </c>
      <c r="G16" s="184">
        <f>'Page 9-Year 5'!E16</f>
        <v>20944</v>
      </c>
      <c r="H16" s="181"/>
      <c r="I16" s="182"/>
      <c r="J16" s="185" t="s">
        <v>166</v>
      </c>
      <c r="K16" s="365">
        <f>'Page 4-Year 0'!L16</f>
        <v>0</v>
      </c>
      <c r="L16" s="364">
        <f t="shared" ref="L16:P16" si="8">C16-B16</f>
        <v>8624</v>
      </c>
      <c r="M16" s="364">
        <f t="shared" si="8"/>
        <v>2464</v>
      </c>
      <c r="N16" s="364">
        <f t="shared" si="8"/>
        <v>2464</v>
      </c>
      <c r="O16" s="364">
        <f t="shared" si="8"/>
        <v>6160</v>
      </c>
      <c r="P16" s="364">
        <f t="shared" si="8"/>
        <v>1232</v>
      </c>
      <c r="Q16" s="182"/>
      <c r="R16" s="182"/>
      <c r="S16" s="182"/>
      <c r="T16" s="182"/>
      <c r="U16" s="182"/>
      <c r="V16" s="182"/>
      <c r="W16" s="182"/>
      <c r="X16" s="182"/>
      <c r="Y16" s="182"/>
      <c r="Z16" s="182"/>
    </row>
    <row r="17" spans="1:26" ht="12.75" customHeight="1">
      <c r="A17" s="363" t="s">
        <v>167</v>
      </c>
      <c r="B17" s="184">
        <f>'Page 4-Year 0'!D17</f>
        <v>0</v>
      </c>
      <c r="C17" s="184">
        <f>'Page 5-Year 1'!E17</f>
        <v>0</v>
      </c>
      <c r="D17" s="184">
        <f>'Page 6-Year 2'!E17</f>
        <v>1287.7199999999998</v>
      </c>
      <c r="E17" s="184">
        <f>'Page 7-Year 3'!E17</f>
        <v>1597.8239999999998</v>
      </c>
      <c r="F17" s="184">
        <f>'Page 8-Year 4'!E17</f>
        <v>2140.944</v>
      </c>
      <c r="G17" s="184">
        <f>'Page 9-Year 5'!E17</f>
        <v>2417.7599999999998</v>
      </c>
      <c r="H17" s="181"/>
      <c r="I17" s="182"/>
      <c r="J17" s="183" t="s">
        <v>167</v>
      </c>
      <c r="K17" s="365">
        <f>'Page 4-Year 0'!L17</f>
        <v>0</v>
      </c>
      <c r="L17" s="364">
        <f t="shared" ref="L17:P17" si="9">C17-B17</f>
        <v>0</v>
      </c>
      <c r="M17" s="364">
        <f t="shared" si="9"/>
        <v>1287.7199999999998</v>
      </c>
      <c r="N17" s="364">
        <f t="shared" si="9"/>
        <v>310.10400000000004</v>
      </c>
      <c r="O17" s="364">
        <f t="shared" si="9"/>
        <v>543.12000000000012</v>
      </c>
      <c r="P17" s="364">
        <f t="shared" si="9"/>
        <v>276.8159999999998</v>
      </c>
      <c r="Q17" s="182"/>
      <c r="R17" s="182"/>
      <c r="S17" s="182"/>
      <c r="T17" s="182"/>
      <c r="U17" s="182"/>
      <c r="V17" s="182"/>
      <c r="W17" s="182"/>
      <c r="X17" s="182"/>
      <c r="Y17" s="182"/>
      <c r="Z17" s="182"/>
    </row>
    <row r="18" spans="1:26" ht="12.75" customHeight="1">
      <c r="A18" s="363" t="s">
        <v>80</v>
      </c>
      <c r="B18" s="184">
        <f>'Page 4-Year 0'!D18</f>
        <v>0</v>
      </c>
      <c r="C18" s="184">
        <f>'Page 5-Year 1'!E18</f>
        <v>500</v>
      </c>
      <c r="D18" s="184">
        <f>'Page 6-Year 2'!E18</f>
        <v>500</v>
      </c>
      <c r="E18" s="184">
        <f>'Page 7-Year 3'!E18</f>
        <v>500</v>
      </c>
      <c r="F18" s="184">
        <f>'Page 8-Year 4'!E18</f>
        <v>500</v>
      </c>
      <c r="G18" s="184">
        <f>'Page 9-Year 5'!E18</f>
        <v>500</v>
      </c>
      <c r="H18" s="181"/>
      <c r="I18" s="182"/>
      <c r="J18" s="183" t="s">
        <v>80</v>
      </c>
      <c r="K18" s="365">
        <f>'Page 4-Year 0'!L18</f>
        <v>0</v>
      </c>
      <c r="L18" s="364">
        <f t="shared" ref="L18:P18" si="10">C18-B18</f>
        <v>500</v>
      </c>
      <c r="M18" s="364">
        <f t="shared" si="10"/>
        <v>0</v>
      </c>
      <c r="N18" s="364">
        <f t="shared" si="10"/>
        <v>0</v>
      </c>
      <c r="O18" s="364">
        <f t="shared" si="10"/>
        <v>0</v>
      </c>
      <c r="P18" s="364">
        <f t="shared" si="10"/>
        <v>0</v>
      </c>
      <c r="Q18" s="182"/>
      <c r="R18" s="182"/>
      <c r="S18" s="182"/>
      <c r="T18" s="182"/>
      <c r="U18" s="182"/>
      <c r="V18" s="182"/>
      <c r="W18" s="182"/>
      <c r="X18" s="182"/>
      <c r="Y18" s="182"/>
      <c r="Z18" s="182"/>
    </row>
    <row r="19" spans="1:26" ht="12.75" customHeight="1">
      <c r="A19" s="363" t="s">
        <v>168</v>
      </c>
      <c r="B19" s="184">
        <f>'Page 4-Year 0'!D19</f>
        <v>0</v>
      </c>
      <c r="C19" s="184">
        <f>'Page 5-Year 1'!E19</f>
        <v>0</v>
      </c>
      <c r="D19" s="184">
        <f>'Page 6-Year 2'!E19</f>
        <v>0</v>
      </c>
      <c r="E19" s="184">
        <f>'Page 7-Year 3'!E19</f>
        <v>0</v>
      </c>
      <c r="F19" s="184">
        <f>'Page 8-Year 4'!E19</f>
        <v>0</v>
      </c>
      <c r="G19" s="184">
        <f>'Page 9-Year 5'!E19</f>
        <v>0</v>
      </c>
      <c r="H19" s="181"/>
      <c r="I19" s="182"/>
      <c r="J19" s="183" t="s">
        <v>168</v>
      </c>
      <c r="K19" s="365">
        <f>'Page 4-Year 0'!L19</f>
        <v>0</v>
      </c>
      <c r="L19" s="364">
        <f t="shared" ref="L19:P19" si="11">C19-B19</f>
        <v>0</v>
      </c>
      <c r="M19" s="364">
        <f t="shared" si="11"/>
        <v>0</v>
      </c>
      <c r="N19" s="364">
        <f t="shared" si="11"/>
        <v>0</v>
      </c>
      <c r="O19" s="364">
        <f t="shared" si="11"/>
        <v>0</v>
      </c>
      <c r="P19" s="364">
        <f t="shared" si="11"/>
        <v>0</v>
      </c>
      <c r="Q19" s="182"/>
      <c r="R19" s="182"/>
      <c r="S19" s="182"/>
      <c r="T19" s="182"/>
      <c r="U19" s="182"/>
      <c r="V19" s="182"/>
      <c r="W19" s="182"/>
      <c r="X19" s="182"/>
      <c r="Y19" s="182"/>
      <c r="Z19" s="182"/>
    </row>
    <row r="20" spans="1:26" ht="12.75" customHeight="1">
      <c r="A20" s="363" t="s">
        <v>82</v>
      </c>
      <c r="B20" s="184">
        <f>'Page 4-Year 0'!D20</f>
        <v>0</v>
      </c>
      <c r="C20" s="184">
        <f>'Page 5-Year 1'!E20</f>
        <v>0</v>
      </c>
      <c r="D20" s="184">
        <f>'Page 6-Year 2'!E20</f>
        <v>9444.14</v>
      </c>
      <c r="E20" s="184">
        <f>'Page 7-Year 3'!E20</f>
        <v>9941.2000000000007</v>
      </c>
      <c r="F20" s="184">
        <f>'Page 8-Year 4'!E20</f>
        <v>10438.26</v>
      </c>
      <c r="G20" s="184">
        <f>'Page 9-Year 5'!E20</f>
        <v>13917.68</v>
      </c>
      <c r="H20" s="181"/>
      <c r="I20" s="182"/>
      <c r="J20" s="183" t="s">
        <v>82</v>
      </c>
      <c r="K20" s="365">
        <f>'Page 4-Year 0'!L20</f>
        <v>0</v>
      </c>
      <c r="L20" s="364">
        <f t="shared" ref="L20:P20" si="12">C20-B20</f>
        <v>0</v>
      </c>
      <c r="M20" s="364">
        <f t="shared" si="12"/>
        <v>9444.14</v>
      </c>
      <c r="N20" s="364">
        <f t="shared" si="12"/>
        <v>497.06000000000131</v>
      </c>
      <c r="O20" s="364">
        <f t="shared" si="12"/>
        <v>497.05999999999949</v>
      </c>
      <c r="P20" s="364">
        <f t="shared" si="12"/>
        <v>3479.42</v>
      </c>
      <c r="Q20" s="182"/>
      <c r="R20" s="182"/>
      <c r="S20" s="182"/>
      <c r="T20" s="182"/>
      <c r="U20" s="182"/>
      <c r="V20" s="182"/>
      <c r="W20" s="182"/>
      <c r="X20" s="182"/>
      <c r="Y20" s="182"/>
      <c r="Z20" s="182"/>
    </row>
    <row r="21" spans="1:26" ht="12.75" customHeight="1">
      <c r="A21" s="363" t="s">
        <v>88</v>
      </c>
      <c r="B21" s="184">
        <f>'Page 4-Year 0'!D21</f>
        <v>0</v>
      </c>
      <c r="C21" s="184">
        <f>'Page 5-Year 1'!E21</f>
        <v>48000</v>
      </c>
      <c r="D21" s="184">
        <f>'Page 6-Year 2'!E21</f>
        <v>60800</v>
      </c>
      <c r="E21" s="184">
        <f>'Page 7-Year 3'!E21</f>
        <v>83200</v>
      </c>
      <c r="F21" s="184">
        <f>'Page 8-Year 4'!E21</f>
        <v>96000</v>
      </c>
      <c r="G21" s="184">
        <f>'Page 9-Year 5'!E21</f>
        <v>105600</v>
      </c>
      <c r="H21" s="181"/>
      <c r="I21" s="182"/>
      <c r="J21" s="183" t="s">
        <v>88</v>
      </c>
      <c r="K21" s="365">
        <f>'Page 4-Year 0'!L21</f>
        <v>0</v>
      </c>
      <c r="L21" s="364">
        <f t="shared" ref="L21:P21" si="13">C21-B21</f>
        <v>48000</v>
      </c>
      <c r="M21" s="364">
        <f t="shared" si="13"/>
        <v>12800</v>
      </c>
      <c r="N21" s="364">
        <f t="shared" si="13"/>
        <v>22400</v>
      </c>
      <c r="O21" s="364">
        <f t="shared" si="13"/>
        <v>12800</v>
      </c>
      <c r="P21" s="364">
        <f t="shared" si="13"/>
        <v>9600</v>
      </c>
      <c r="Q21" s="182"/>
      <c r="R21" s="182"/>
      <c r="S21" s="182"/>
      <c r="T21" s="182"/>
      <c r="U21" s="182"/>
      <c r="V21" s="182"/>
      <c r="W21" s="182"/>
      <c r="X21" s="182"/>
      <c r="Y21" s="182"/>
      <c r="Z21" s="182"/>
    </row>
    <row r="22" spans="1:26" ht="12.75" customHeight="1">
      <c r="A22" s="363" t="s">
        <v>90</v>
      </c>
      <c r="B22" s="184">
        <f>'Page 4-Year 0'!D22</f>
        <v>0</v>
      </c>
      <c r="C22" s="184">
        <f>'Page 5-Year 1'!E22</f>
        <v>13428</v>
      </c>
      <c r="D22" s="184">
        <f>'Page 6-Year 2'!E22</f>
        <v>17008.8</v>
      </c>
      <c r="E22" s="184">
        <f>'Page 7-Year 3'!E22</f>
        <v>23275.200000000001</v>
      </c>
      <c r="F22" s="184">
        <f>'Page 8-Year 4'!E22</f>
        <v>26856</v>
      </c>
      <c r="G22" s="184">
        <f>'Page 9-Year 5'!E22</f>
        <v>29541.600000000002</v>
      </c>
      <c r="H22" s="181"/>
      <c r="I22" s="182"/>
      <c r="J22" s="183" t="s">
        <v>90</v>
      </c>
      <c r="K22" s="365">
        <f>'Page 4-Year 0'!L22</f>
        <v>0</v>
      </c>
      <c r="L22" s="364">
        <f t="shared" ref="L22:P22" si="14">C22-B22</f>
        <v>13428</v>
      </c>
      <c r="M22" s="364">
        <f t="shared" si="14"/>
        <v>3580.7999999999993</v>
      </c>
      <c r="N22" s="364">
        <f t="shared" si="14"/>
        <v>6266.4000000000015</v>
      </c>
      <c r="O22" s="364">
        <f t="shared" si="14"/>
        <v>3580.7999999999993</v>
      </c>
      <c r="P22" s="364">
        <f t="shared" si="14"/>
        <v>2685.6000000000022</v>
      </c>
      <c r="Q22" s="182"/>
      <c r="R22" s="182"/>
      <c r="S22" s="182"/>
      <c r="T22" s="182"/>
      <c r="U22" s="182"/>
      <c r="V22" s="182"/>
      <c r="W22" s="182"/>
      <c r="X22" s="182"/>
      <c r="Y22" s="182"/>
      <c r="Z22" s="182"/>
    </row>
    <row r="23" spans="1:26" ht="12.75" customHeight="1">
      <c r="A23" s="363" t="s">
        <v>169</v>
      </c>
      <c r="B23" s="184">
        <f>'Page 4-Year 0'!D23</f>
        <v>0</v>
      </c>
      <c r="C23" s="184">
        <f>'Page 5-Year 1'!E23</f>
        <v>11200</v>
      </c>
      <c r="D23" s="184">
        <f>'Page 6-Year 2'!E23</f>
        <v>11200</v>
      </c>
      <c r="E23" s="184">
        <f>'Page 7-Year 3'!E23</f>
        <v>14400</v>
      </c>
      <c r="F23" s="184">
        <f>'Page 8-Year 4'!E23</f>
        <v>17600</v>
      </c>
      <c r="G23" s="184">
        <f>'Page 9-Year 5'!E23</f>
        <v>25600</v>
      </c>
      <c r="H23" s="181"/>
      <c r="I23" s="182"/>
      <c r="J23" s="183" t="s">
        <v>169</v>
      </c>
      <c r="K23" s="365">
        <f>'Page 4-Year 0'!L23</f>
        <v>0</v>
      </c>
      <c r="L23" s="364">
        <f t="shared" ref="L23:P23" si="15">C23-B23</f>
        <v>11200</v>
      </c>
      <c r="M23" s="364">
        <f t="shared" si="15"/>
        <v>0</v>
      </c>
      <c r="N23" s="364">
        <f t="shared" si="15"/>
        <v>3200</v>
      </c>
      <c r="O23" s="364">
        <f t="shared" si="15"/>
        <v>3200</v>
      </c>
      <c r="P23" s="364">
        <f t="shared" si="15"/>
        <v>8000</v>
      </c>
      <c r="Q23" s="182"/>
      <c r="R23" s="182"/>
      <c r="S23" s="182"/>
      <c r="T23" s="182"/>
      <c r="U23" s="182"/>
      <c r="V23" s="182"/>
      <c r="W23" s="182"/>
      <c r="X23" s="182"/>
      <c r="Y23" s="182"/>
      <c r="Z23" s="182"/>
    </row>
    <row r="24" spans="1:26" ht="12.75" customHeight="1">
      <c r="A24" s="363" t="s">
        <v>95</v>
      </c>
      <c r="B24" s="184">
        <f>'Page 4-Year 0'!D24</f>
        <v>0</v>
      </c>
      <c r="C24" s="184">
        <f>'Page 5-Year 1'!E24</f>
        <v>0</v>
      </c>
      <c r="D24" s="184">
        <f>'Page 6-Year 2'!E24</f>
        <v>458.63999999999993</v>
      </c>
      <c r="E24" s="184">
        <f>'Page 7-Year 3'!E24</f>
        <v>569.08799999999997</v>
      </c>
      <c r="F24" s="184">
        <f>'Page 8-Year 4'!E24</f>
        <v>762.52800000000002</v>
      </c>
      <c r="G24" s="184">
        <f>'Page 9-Year 5'!E24</f>
        <v>861.11999999999989</v>
      </c>
      <c r="H24" s="181"/>
      <c r="I24" s="182"/>
      <c r="J24" s="183" t="s">
        <v>95</v>
      </c>
      <c r="K24" s="365">
        <f>'Page 4-Year 0'!L24</f>
        <v>0</v>
      </c>
      <c r="L24" s="364">
        <f t="shared" ref="L24:P24" si="16">C24-B24</f>
        <v>0</v>
      </c>
      <c r="M24" s="364">
        <f t="shared" si="16"/>
        <v>458.63999999999993</v>
      </c>
      <c r="N24" s="364">
        <f t="shared" si="16"/>
        <v>110.44800000000004</v>
      </c>
      <c r="O24" s="364">
        <f t="shared" si="16"/>
        <v>193.44000000000005</v>
      </c>
      <c r="P24" s="364">
        <f t="shared" si="16"/>
        <v>98.591999999999871</v>
      </c>
      <c r="Q24" s="182"/>
      <c r="R24" s="182"/>
      <c r="S24" s="182"/>
      <c r="T24" s="182"/>
      <c r="U24" s="182"/>
      <c r="V24" s="182"/>
      <c r="W24" s="182"/>
      <c r="X24" s="182"/>
      <c r="Y24" s="182"/>
      <c r="Z24" s="182"/>
    </row>
    <row r="25" spans="1:26" ht="12.75" customHeight="1">
      <c r="A25" s="352" t="s">
        <v>170</v>
      </c>
      <c r="B25" s="184">
        <f>'Page 4-Year 0'!D25</f>
        <v>0</v>
      </c>
      <c r="C25" s="184">
        <f>'Page 5-Year 1'!E25</f>
        <v>1500</v>
      </c>
      <c r="D25" s="184">
        <f>'Page 6-Year 2'!E25</f>
        <v>1500</v>
      </c>
      <c r="E25" s="184">
        <f>'Page 7-Year 3'!E25</f>
        <v>1500</v>
      </c>
      <c r="F25" s="184">
        <f>'Page 8-Year 4'!E25</f>
        <v>1500</v>
      </c>
      <c r="G25" s="184">
        <f>'Page 9-Year 5'!E25</f>
        <v>1500</v>
      </c>
      <c r="H25" s="181"/>
      <c r="I25" s="182"/>
      <c r="J25" s="141" t="s">
        <v>170</v>
      </c>
      <c r="K25" s="365">
        <f>'Page 4-Year 0'!L25</f>
        <v>0</v>
      </c>
      <c r="L25" s="364">
        <f t="shared" ref="L25:P25" si="17">C25-B25</f>
        <v>1500</v>
      </c>
      <c r="M25" s="364">
        <f t="shared" si="17"/>
        <v>0</v>
      </c>
      <c r="N25" s="364">
        <f t="shared" si="17"/>
        <v>0</v>
      </c>
      <c r="O25" s="364">
        <f t="shared" si="17"/>
        <v>0</v>
      </c>
      <c r="P25" s="364">
        <f t="shared" si="17"/>
        <v>0</v>
      </c>
      <c r="Q25" s="182"/>
      <c r="R25" s="182"/>
      <c r="S25" s="182"/>
      <c r="T25" s="182"/>
      <c r="U25" s="182"/>
      <c r="V25" s="182"/>
      <c r="W25" s="182"/>
      <c r="X25" s="182"/>
      <c r="Y25" s="182"/>
      <c r="Z25" s="182"/>
    </row>
    <row r="26" spans="1:26" ht="12.75" customHeight="1">
      <c r="A26" s="363" t="s">
        <v>171</v>
      </c>
      <c r="B26" s="184">
        <f>'Page 4-Year 0'!D26</f>
        <v>0</v>
      </c>
      <c r="C26" s="184">
        <f>'Page 5-Year 1'!E26</f>
        <v>82729.343999999997</v>
      </c>
      <c r="D26" s="184">
        <f>'Page 6-Year 2'!E26</f>
        <v>84383.93088</v>
      </c>
      <c r="E26" s="184">
        <f>'Page 7-Year 3'!E26</f>
        <v>86071.609497599988</v>
      </c>
      <c r="F26" s="184">
        <f>'Page 8-Year 4'!E26</f>
        <v>87793.041687551988</v>
      </c>
      <c r="G26" s="368">
        <f>'Page 9-Year 5'!E26</f>
        <v>89548.90252130304</v>
      </c>
      <c r="H26" s="181"/>
      <c r="I26" s="182"/>
      <c r="J26" s="183" t="s">
        <v>171</v>
      </c>
      <c r="K26" s="365">
        <f>'Page 4-Year 0'!L26</f>
        <v>0</v>
      </c>
      <c r="L26" s="364">
        <f t="shared" ref="L26:P26" si="18">C26-B26</f>
        <v>82729.343999999997</v>
      </c>
      <c r="M26" s="364">
        <f t="shared" si="18"/>
        <v>1654.5868800000026</v>
      </c>
      <c r="N26" s="364">
        <f t="shared" si="18"/>
        <v>1687.6786175999878</v>
      </c>
      <c r="O26" s="364">
        <f t="shared" si="18"/>
        <v>1721.432189952</v>
      </c>
      <c r="P26" s="364">
        <f t="shared" si="18"/>
        <v>1755.8608337510523</v>
      </c>
      <c r="Q26" s="182"/>
      <c r="R26" s="182"/>
      <c r="S26" s="182"/>
      <c r="T26" s="182"/>
      <c r="U26" s="182"/>
      <c r="V26" s="182"/>
      <c r="W26" s="182"/>
      <c r="X26" s="182"/>
      <c r="Y26" s="182"/>
      <c r="Z26" s="182"/>
    </row>
    <row r="27" spans="1:26" ht="12.75" customHeight="1">
      <c r="A27" s="363" t="s">
        <v>172</v>
      </c>
      <c r="B27" s="184">
        <f>'Page 4-Year 0'!D27</f>
        <v>0</v>
      </c>
      <c r="C27" s="184">
        <f>'Page 5-Year 1'!E27</f>
        <v>0</v>
      </c>
      <c r="D27" s="184">
        <f>'Page 6-Year 2'!E27</f>
        <v>0</v>
      </c>
      <c r="E27" s="184">
        <f>'Page 7-Year 3'!E27</f>
        <v>0</v>
      </c>
      <c r="F27" s="184">
        <f>'Page 8-Year 4'!E27</f>
        <v>0</v>
      </c>
      <c r="G27" s="368">
        <f>'Page 9-Year 5'!E27</f>
        <v>0</v>
      </c>
      <c r="H27" s="181"/>
      <c r="I27" s="182"/>
      <c r="J27" s="183" t="s">
        <v>172</v>
      </c>
      <c r="K27" s="365">
        <f>'Page 4-Year 0'!L27</f>
        <v>0</v>
      </c>
      <c r="L27" s="364">
        <f t="shared" ref="L27:P27" si="19">C27-B27</f>
        <v>0</v>
      </c>
      <c r="M27" s="364">
        <f t="shared" si="19"/>
        <v>0</v>
      </c>
      <c r="N27" s="364">
        <f t="shared" si="19"/>
        <v>0</v>
      </c>
      <c r="O27" s="364">
        <f t="shared" si="19"/>
        <v>0</v>
      </c>
      <c r="P27" s="364">
        <f t="shared" si="19"/>
        <v>0</v>
      </c>
      <c r="Q27" s="182"/>
      <c r="R27" s="182"/>
      <c r="S27" s="182"/>
      <c r="T27" s="182"/>
      <c r="U27" s="182"/>
      <c r="V27" s="182"/>
      <c r="W27" s="182"/>
      <c r="X27" s="182"/>
      <c r="Y27" s="182"/>
      <c r="Z27" s="182"/>
    </row>
    <row r="28" spans="1:26" ht="12.75" customHeight="1">
      <c r="A28" s="363" t="s">
        <v>57</v>
      </c>
      <c r="B28" s="184">
        <f>'Page 4-Year 0'!D28</f>
        <v>0</v>
      </c>
      <c r="C28" s="184">
        <f>'Page 5-Year 1'!E28</f>
        <v>555942.77999999991</v>
      </c>
      <c r="D28" s="184">
        <f>'Page 6-Year 2'!E28</f>
        <v>721799.04269999976</v>
      </c>
      <c r="E28" s="184">
        <f>'Page 7-Year 3'!E28</f>
        <v>1012418.1309449996</v>
      </c>
      <c r="F28" s="184">
        <f>'Page 8-Year 4'!E28</f>
        <v>1197379.1356368745</v>
      </c>
      <c r="G28" s="184">
        <f>'Page 9-Year 5'!E28</f>
        <v>1350044.9754305757</v>
      </c>
      <c r="H28" s="181"/>
      <c r="I28" s="182"/>
      <c r="J28" s="183" t="s">
        <v>57</v>
      </c>
      <c r="K28" s="365">
        <f>'Page 4-Year 0'!L28</f>
        <v>0</v>
      </c>
      <c r="L28" s="364">
        <f t="shared" ref="L28:P28" si="20">C28-B28</f>
        <v>555942.77999999991</v>
      </c>
      <c r="M28" s="364">
        <f t="shared" si="20"/>
        <v>165856.26269999985</v>
      </c>
      <c r="N28" s="364">
        <f t="shared" si="20"/>
        <v>290619.08824499988</v>
      </c>
      <c r="O28" s="364">
        <f t="shared" si="20"/>
        <v>184961.00469187484</v>
      </c>
      <c r="P28" s="364">
        <f t="shared" si="20"/>
        <v>152665.83979370119</v>
      </c>
      <c r="Q28" s="182"/>
      <c r="R28" s="182"/>
      <c r="S28" s="182"/>
      <c r="T28" s="182"/>
      <c r="U28" s="182"/>
      <c r="V28" s="182"/>
      <c r="W28" s="182"/>
      <c r="X28" s="182"/>
      <c r="Y28" s="182"/>
      <c r="Z28" s="182"/>
    </row>
    <row r="29" spans="1:26" ht="12.75" customHeight="1">
      <c r="A29" s="367" t="s">
        <v>173</v>
      </c>
      <c r="B29" s="369">
        <f>'Page 4-Year 0'!D29</f>
        <v>0</v>
      </c>
      <c r="C29" s="369">
        <f>'Page 5-Year 1'!E29</f>
        <v>73535.61</v>
      </c>
      <c r="D29" s="369">
        <f>'Page 6-Year 2'!E29</f>
        <v>123428.41</v>
      </c>
      <c r="E29" s="369">
        <f>'Page 7-Year 3'!E29</f>
        <v>246856.82</v>
      </c>
      <c r="F29" s="369">
        <f>'Page 8-Year 4'!E29</f>
        <v>246856.82</v>
      </c>
      <c r="G29" s="369">
        <f>'Page 9-Year 5'!E29</f>
        <v>370285.23</v>
      </c>
      <c r="H29" s="181"/>
      <c r="I29" s="182"/>
      <c r="J29" s="185" t="s">
        <v>173</v>
      </c>
      <c r="K29" s="186">
        <f>'Page 4-Year 0'!L29</f>
        <v>0</v>
      </c>
      <c r="L29" s="364">
        <f t="shared" ref="L29:P29" si="21">C29-B29</f>
        <v>73535.61</v>
      </c>
      <c r="M29" s="364">
        <f t="shared" si="21"/>
        <v>49892.800000000003</v>
      </c>
      <c r="N29" s="364">
        <f t="shared" si="21"/>
        <v>123428.41</v>
      </c>
      <c r="O29" s="364">
        <f t="shared" si="21"/>
        <v>0</v>
      </c>
      <c r="P29" s="364">
        <f t="shared" si="21"/>
        <v>123428.40999999997</v>
      </c>
      <c r="Q29" s="182"/>
      <c r="R29" s="182"/>
      <c r="S29" s="182"/>
      <c r="T29" s="182"/>
      <c r="U29" s="182"/>
      <c r="V29" s="182"/>
      <c r="W29" s="182"/>
      <c r="X29" s="182"/>
      <c r="Y29" s="182"/>
      <c r="Z29" s="182"/>
    </row>
    <row r="30" spans="1:26" ht="12.75" customHeight="1">
      <c r="A30" s="370" t="s">
        <v>174</v>
      </c>
      <c r="B30" s="180">
        <f t="shared" ref="B30:G30" si="22">SUM(B8:B29)</f>
        <v>295000</v>
      </c>
      <c r="C30" s="180">
        <f t="shared" si="22"/>
        <v>1004879.5039999998</v>
      </c>
      <c r="D30" s="180">
        <f t="shared" si="22"/>
        <v>1451831.6335799997</v>
      </c>
      <c r="E30" s="180">
        <f t="shared" si="22"/>
        <v>1991838.8924425996</v>
      </c>
      <c r="F30" s="180">
        <f t="shared" si="22"/>
        <v>2348295.3933244264</v>
      </c>
      <c r="G30" s="180">
        <f t="shared" si="22"/>
        <v>2707195.7199478787</v>
      </c>
      <c r="H30" s="181"/>
      <c r="I30" s="182"/>
      <c r="J30" s="187" t="s">
        <v>174</v>
      </c>
      <c r="K30" s="364">
        <f t="shared" ref="K30:P30" si="23">SUM(K8:K29)</f>
        <v>0</v>
      </c>
      <c r="L30" s="364">
        <f t="shared" si="23"/>
        <v>709879.50399999984</v>
      </c>
      <c r="M30" s="364">
        <f t="shared" si="23"/>
        <v>446952.12957999983</v>
      </c>
      <c r="N30" s="364">
        <f t="shared" si="23"/>
        <v>540007.25886259985</v>
      </c>
      <c r="O30" s="364">
        <f t="shared" si="23"/>
        <v>356456.50088182685</v>
      </c>
      <c r="P30" s="364">
        <f t="shared" si="23"/>
        <v>358900.32662345225</v>
      </c>
      <c r="Q30" s="182"/>
      <c r="R30" s="182"/>
      <c r="S30" s="182"/>
      <c r="T30" s="182"/>
      <c r="U30" s="182"/>
      <c r="V30" s="182"/>
      <c r="W30" s="182"/>
      <c r="X30" s="182"/>
      <c r="Y30" s="182"/>
      <c r="Z30" s="182"/>
    </row>
    <row r="31" spans="1:26" ht="12.75" customHeight="1">
      <c r="A31" s="371"/>
      <c r="B31" s="184"/>
      <c r="C31" s="184"/>
      <c r="D31" s="184"/>
      <c r="E31" s="184"/>
      <c r="F31" s="368"/>
      <c r="G31" s="184"/>
      <c r="H31" s="181"/>
      <c r="I31" s="182"/>
      <c r="J31" s="188"/>
      <c r="K31" s="365"/>
      <c r="L31" s="365"/>
      <c r="M31" s="365"/>
      <c r="N31" s="365"/>
      <c r="O31" s="189"/>
      <c r="P31" s="365"/>
      <c r="Q31" s="182"/>
      <c r="R31" s="182"/>
      <c r="S31" s="182"/>
      <c r="T31" s="182"/>
      <c r="U31" s="182"/>
      <c r="V31" s="182"/>
      <c r="W31" s="182"/>
      <c r="X31" s="182"/>
      <c r="Y31" s="182"/>
      <c r="Z31" s="182"/>
    </row>
    <row r="32" spans="1:26" ht="12.75" customHeight="1">
      <c r="A32" s="370" t="s">
        <v>106</v>
      </c>
      <c r="B32" s="184"/>
      <c r="C32" s="184"/>
      <c r="D32" s="184"/>
      <c r="E32" s="184"/>
      <c r="F32" s="184"/>
      <c r="G32" s="184"/>
      <c r="H32" s="181"/>
      <c r="I32" s="182"/>
      <c r="J32" s="187" t="s">
        <v>106</v>
      </c>
      <c r="K32" s="365"/>
      <c r="L32" s="365"/>
      <c r="M32" s="365"/>
      <c r="N32" s="365"/>
      <c r="O32" s="365"/>
      <c r="P32" s="365"/>
      <c r="Q32" s="182"/>
      <c r="R32" s="182"/>
      <c r="S32" s="182"/>
      <c r="T32" s="182"/>
      <c r="U32" s="182"/>
      <c r="V32" s="182"/>
      <c r="W32" s="182"/>
      <c r="X32" s="182"/>
      <c r="Y32" s="182"/>
      <c r="Z32" s="182"/>
    </row>
    <row r="33" spans="1:26" ht="12.75" customHeight="1">
      <c r="A33" s="372" t="s">
        <v>175</v>
      </c>
      <c r="B33" s="190">
        <f>'Page 4-Year 0'!D33</f>
        <v>23750</v>
      </c>
      <c r="C33" s="190">
        <f>'Page 5-Year 1'!E33</f>
        <v>488580</v>
      </c>
      <c r="D33" s="190">
        <f>'Page 6-Year 2'!E33</f>
        <v>622960</v>
      </c>
      <c r="E33" s="190">
        <f>'Page 7-Year 3'!E33</f>
        <v>1002336</v>
      </c>
      <c r="F33" s="190">
        <f>'Page 8-Year 4'!E33</f>
        <v>1143720</v>
      </c>
      <c r="G33" s="190">
        <f>'Page 9-Year 5'!E33</f>
        <v>1405525</v>
      </c>
      <c r="H33" s="181"/>
      <c r="I33" s="182"/>
      <c r="J33" s="191" t="s">
        <v>175</v>
      </c>
      <c r="K33" s="373">
        <f>'Page 4-Year 0'!L33</f>
        <v>0</v>
      </c>
      <c r="L33" s="373">
        <f t="shared" ref="L33:P33" si="24">C33-B33</f>
        <v>464830</v>
      </c>
      <c r="M33" s="373">
        <f t="shared" si="24"/>
        <v>134380</v>
      </c>
      <c r="N33" s="373">
        <f t="shared" si="24"/>
        <v>379376</v>
      </c>
      <c r="O33" s="373">
        <f t="shared" si="24"/>
        <v>141384</v>
      </c>
      <c r="P33" s="373">
        <f t="shared" si="24"/>
        <v>261805</v>
      </c>
      <c r="Q33" s="182"/>
      <c r="R33" s="182"/>
      <c r="S33" s="182"/>
      <c r="T33" s="182"/>
      <c r="U33" s="182"/>
      <c r="V33" s="182"/>
      <c r="W33" s="182"/>
      <c r="X33" s="182"/>
      <c r="Y33" s="182"/>
      <c r="Z33" s="182"/>
    </row>
    <row r="34" spans="1:26" ht="12.75" customHeight="1">
      <c r="A34" s="372" t="s">
        <v>238</v>
      </c>
      <c r="B34" s="184">
        <f>'Page 4-Year 0'!D34</f>
        <v>30000</v>
      </c>
      <c r="C34" s="184">
        <f>'Page 5-Year 1'!E34</f>
        <v>5720</v>
      </c>
      <c r="D34" s="184">
        <f>'Page 6-Year 2'!E34</f>
        <v>8200</v>
      </c>
      <c r="E34" s="184">
        <f>'Page 7-Year 3'!E34</f>
        <v>10240</v>
      </c>
      <c r="F34" s="184">
        <f>'Page 8-Year 4'!E34</f>
        <v>12080</v>
      </c>
      <c r="G34" s="184">
        <f>'Page 9-Year 5'!E34</f>
        <v>13440</v>
      </c>
      <c r="H34" s="181"/>
      <c r="I34" s="182"/>
      <c r="J34" s="191" t="s">
        <v>238</v>
      </c>
      <c r="K34" s="365">
        <f>'Page 4-Year 0'!L34</f>
        <v>0</v>
      </c>
      <c r="L34" s="373">
        <f t="shared" ref="L34:P34" si="25">C34-B34</f>
        <v>-24280</v>
      </c>
      <c r="M34" s="373">
        <f t="shared" si="25"/>
        <v>2480</v>
      </c>
      <c r="N34" s="373">
        <f t="shared" si="25"/>
        <v>2040</v>
      </c>
      <c r="O34" s="373">
        <f t="shared" si="25"/>
        <v>1840</v>
      </c>
      <c r="P34" s="373">
        <f t="shared" si="25"/>
        <v>1360</v>
      </c>
      <c r="Q34" s="182"/>
      <c r="R34" s="182"/>
      <c r="S34" s="182"/>
      <c r="T34" s="182"/>
      <c r="U34" s="182"/>
      <c r="V34" s="182"/>
      <c r="W34" s="182"/>
      <c r="X34" s="182"/>
      <c r="Y34" s="182"/>
      <c r="Z34" s="182"/>
    </row>
    <row r="35" spans="1:26" ht="12.75" customHeight="1">
      <c r="A35" s="372" t="s">
        <v>177</v>
      </c>
      <c r="B35" s="184">
        <f>'Page 4-Year 0'!D35</f>
        <v>779.375</v>
      </c>
      <c r="C35" s="184">
        <f>'Page 5-Year 1'!E35</f>
        <v>7167.3499999999995</v>
      </c>
      <c r="D35" s="184">
        <f>'Page 6-Year 2'!E35</f>
        <v>9151.82</v>
      </c>
      <c r="E35" s="184">
        <f>'Page 7-Year 3'!E35</f>
        <v>14682.351999999999</v>
      </c>
      <c r="F35" s="184">
        <f>'Page 8-Year 4'!E35</f>
        <v>16759.099999999999</v>
      </c>
      <c r="G35" s="184">
        <f>'Page 9-Year 5'!E35</f>
        <v>20574.9925</v>
      </c>
      <c r="H35" s="181"/>
      <c r="I35" s="182"/>
      <c r="J35" s="191" t="s">
        <v>177</v>
      </c>
      <c r="K35" s="365">
        <f>'Page 4-Year 0'!L35</f>
        <v>0</v>
      </c>
      <c r="L35" s="373">
        <f t="shared" ref="L35:P35" si="26">C35-B35</f>
        <v>6387.9749999999995</v>
      </c>
      <c r="M35" s="373">
        <f t="shared" si="26"/>
        <v>1984.4700000000003</v>
      </c>
      <c r="N35" s="373">
        <f t="shared" si="26"/>
        <v>5530.5319999999992</v>
      </c>
      <c r="O35" s="373">
        <f t="shared" si="26"/>
        <v>2076.7479999999996</v>
      </c>
      <c r="P35" s="373">
        <f t="shared" si="26"/>
        <v>3815.8925000000017</v>
      </c>
      <c r="Q35" s="182"/>
      <c r="R35" s="182"/>
      <c r="S35" s="182"/>
      <c r="T35" s="182"/>
      <c r="U35" s="182"/>
      <c r="V35" s="182"/>
      <c r="W35" s="182"/>
      <c r="X35" s="182"/>
      <c r="Y35" s="182"/>
      <c r="Z35" s="182"/>
    </row>
    <row r="36" spans="1:26" ht="12.75" customHeight="1">
      <c r="A36" s="372" t="s">
        <v>178</v>
      </c>
      <c r="B36" s="184">
        <f>'Page 4-Year 0'!D36</f>
        <v>3332.5</v>
      </c>
      <c r="C36" s="184">
        <f>'Page 5-Year 1'!E36</f>
        <v>0</v>
      </c>
      <c r="D36" s="184">
        <f>'Page 6-Year 2'!E36</f>
        <v>0</v>
      </c>
      <c r="E36" s="184">
        <f>'Page 7-Year 3'!E36</f>
        <v>0</v>
      </c>
      <c r="F36" s="184">
        <f>'Page 8-Year 4'!E36</f>
        <v>0</v>
      </c>
      <c r="G36" s="184">
        <f>'Page 9-Year 5'!E36</f>
        <v>0</v>
      </c>
      <c r="H36" s="181"/>
      <c r="I36" s="182"/>
      <c r="J36" s="191" t="s">
        <v>178</v>
      </c>
      <c r="K36" s="365">
        <f>'Page 4-Year 0'!L36</f>
        <v>0</v>
      </c>
      <c r="L36" s="373">
        <f t="shared" ref="L36:P36" si="27">C36-B36</f>
        <v>-3332.5</v>
      </c>
      <c r="M36" s="373">
        <f t="shared" si="27"/>
        <v>0</v>
      </c>
      <c r="N36" s="373">
        <f t="shared" si="27"/>
        <v>0</v>
      </c>
      <c r="O36" s="373">
        <f t="shared" si="27"/>
        <v>0</v>
      </c>
      <c r="P36" s="373">
        <f t="shared" si="27"/>
        <v>0</v>
      </c>
      <c r="Q36" s="182"/>
      <c r="R36" s="182"/>
      <c r="S36" s="182"/>
      <c r="T36" s="182"/>
      <c r="U36" s="182"/>
      <c r="V36" s="182"/>
      <c r="W36" s="182"/>
      <c r="X36" s="182"/>
      <c r="Y36" s="182"/>
      <c r="Z36" s="182"/>
    </row>
    <row r="37" spans="1:26" ht="12.75" customHeight="1">
      <c r="A37" s="372" t="s">
        <v>179</v>
      </c>
      <c r="B37" s="184">
        <f>'Page 4-Year 0'!D37</f>
        <v>0</v>
      </c>
      <c r="C37" s="184">
        <f>'Page 5-Year 1'!E37</f>
        <v>108251.7</v>
      </c>
      <c r="D37" s="184">
        <f>'Page 6-Year 2'!E37</f>
        <v>139801.94</v>
      </c>
      <c r="E37" s="184">
        <f>'Page 7-Year 3'!E37</f>
        <v>226817.024</v>
      </c>
      <c r="F37" s="184">
        <f>'Page 8-Year 4'!E37</f>
        <v>261788.7</v>
      </c>
      <c r="G37" s="184">
        <f>'Page 9-Year 5'!E37</f>
        <v>324942.98499999999</v>
      </c>
      <c r="H37" s="181"/>
      <c r="I37" s="182"/>
      <c r="J37" s="191" t="s">
        <v>179</v>
      </c>
      <c r="K37" s="365">
        <f>'Page 4-Year 0'!L37</f>
        <v>0</v>
      </c>
      <c r="L37" s="373">
        <f t="shared" ref="L37:P37" si="28">C37-B37</f>
        <v>108251.7</v>
      </c>
      <c r="M37" s="373">
        <f t="shared" si="28"/>
        <v>31550.240000000005</v>
      </c>
      <c r="N37" s="373">
        <f t="shared" si="28"/>
        <v>87015.084000000003</v>
      </c>
      <c r="O37" s="373">
        <f t="shared" si="28"/>
        <v>34971.676000000007</v>
      </c>
      <c r="P37" s="373">
        <f t="shared" si="28"/>
        <v>63154.284999999974</v>
      </c>
      <c r="Q37" s="182"/>
      <c r="R37" s="182"/>
      <c r="S37" s="182"/>
      <c r="T37" s="182"/>
      <c r="U37" s="182"/>
      <c r="V37" s="182"/>
      <c r="W37" s="182"/>
      <c r="X37" s="182"/>
      <c r="Y37" s="182"/>
      <c r="Z37" s="182"/>
    </row>
    <row r="38" spans="1:26" ht="12.75" customHeight="1">
      <c r="A38" s="372" t="s">
        <v>180</v>
      </c>
      <c r="B38" s="184">
        <f>'Page 4-Year 0'!D38</f>
        <v>1250</v>
      </c>
      <c r="C38" s="184">
        <f>'Page 5-Year 1'!E38</f>
        <v>33600</v>
      </c>
      <c r="D38" s="184">
        <f>'Page 6-Year 2'!E38</f>
        <v>44100</v>
      </c>
      <c r="E38" s="184">
        <f>'Page 7-Year 3'!E38</f>
        <v>78718.500000000015</v>
      </c>
      <c r="F38" s="184">
        <f>'Page 8-Year 4'!E38</f>
        <v>97240.5</v>
      </c>
      <c r="G38" s="184">
        <f>'Page 9-Year 5'!E38</f>
        <v>122523.03000000001</v>
      </c>
      <c r="H38" s="181"/>
      <c r="I38" s="182"/>
      <c r="J38" s="191" t="s">
        <v>180</v>
      </c>
      <c r="K38" s="365">
        <f>'Page 4-Year 0'!L38</f>
        <v>0</v>
      </c>
      <c r="L38" s="373">
        <f t="shared" ref="L38:P38" si="29">C38-B38</f>
        <v>32350</v>
      </c>
      <c r="M38" s="373">
        <f t="shared" si="29"/>
        <v>10500</v>
      </c>
      <c r="N38" s="373">
        <f t="shared" si="29"/>
        <v>34618.500000000015</v>
      </c>
      <c r="O38" s="373">
        <f t="shared" si="29"/>
        <v>18521.999999999985</v>
      </c>
      <c r="P38" s="373">
        <f t="shared" si="29"/>
        <v>25282.530000000013</v>
      </c>
      <c r="Q38" s="182"/>
      <c r="R38" s="182"/>
      <c r="S38" s="182"/>
      <c r="T38" s="182"/>
      <c r="U38" s="182"/>
      <c r="V38" s="182"/>
      <c r="W38" s="182"/>
      <c r="X38" s="182"/>
      <c r="Y38" s="182"/>
      <c r="Z38" s="182"/>
    </row>
    <row r="39" spans="1:26" ht="12.75" customHeight="1">
      <c r="A39" s="372" t="s">
        <v>181</v>
      </c>
      <c r="B39" s="184">
        <f>'Page 4-Year 0'!D39</f>
        <v>82.5</v>
      </c>
      <c r="C39" s="184">
        <f>'Page 5-Year 1'!E39</f>
        <v>2112</v>
      </c>
      <c r="D39" s="184">
        <f>'Page 6-Year 2'!E39</f>
        <v>2692.8</v>
      </c>
      <c r="E39" s="184">
        <f>'Page 7-Year 3'!E39</f>
        <v>4669.3152</v>
      </c>
      <c r="F39" s="184">
        <f>'Page 8-Year 4'!E39</f>
        <v>5603.1782400000002</v>
      </c>
      <c r="G39" s="184">
        <f>'Page 9-Year 5'!E39</f>
        <v>6858.2901657600005</v>
      </c>
      <c r="H39" s="181"/>
      <c r="I39" s="182"/>
      <c r="J39" s="191" t="s">
        <v>181</v>
      </c>
      <c r="K39" s="365">
        <f>'Page 4-Year 0'!L39</f>
        <v>0</v>
      </c>
      <c r="L39" s="373">
        <f t="shared" ref="L39:P39" si="30">C39-B39</f>
        <v>2029.5</v>
      </c>
      <c r="M39" s="373">
        <f t="shared" si="30"/>
        <v>580.80000000000018</v>
      </c>
      <c r="N39" s="373">
        <f t="shared" si="30"/>
        <v>1976.5151999999998</v>
      </c>
      <c r="O39" s="373">
        <f t="shared" si="30"/>
        <v>933.86304000000018</v>
      </c>
      <c r="P39" s="373">
        <f t="shared" si="30"/>
        <v>1255.1119257600003</v>
      </c>
      <c r="Q39" s="182"/>
      <c r="R39" s="182"/>
      <c r="S39" s="182"/>
      <c r="T39" s="182"/>
      <c r="U39" s="182"/>
      <c r="V39" s="182"/>
      <c r="W39" s="182"/>
      <c r="X39" s="182"/>
      <c r="Y39" s="182"/>
      <c r="Z39" s="182"/>
    </row>
    <row r="40" spans="1:26" ht="12.75" customHeight="1">
      <c r="A40" s="372" t="s">
        <v>182</v>
      </c>
      <c r="B40" s="184">
        <f>'Page 4-Year 0'!D40</f>
        <v>0</v>
      </c>
      <c r="C40" s="184">
        <f>'Page 5-Year 1'!E40</f>
        <v>0</v>
      </c>
      <c r="D40" s="184">
        <f>'Page 6-Year 2'!E40</f>
        <v>0</v>
      </c>
      <c r="E40" s="184">
        <f>'Page 7-Year 3'!E40</f>
        <v>0</v>
      </c>
      <c r="F40" s="184">
        <f>'Page 8-Year 4'!E40</f>
        <v>0</v>
      </c>
      <c r="G40" s="184">
        <f>'Page 9-Year 5'!E40</f>
        <v>0</v>
      </c>
      <c r="H40" s="181"/>
      <c r="I40" s="182"/>
      <c r="J40" s="191" t="s">
        <v>182</v>
      </c>
      <c r="K40" s="365">
        <f>'Page 4-Year 0'!L40</f>
        <v>0</v>
      </c>
      <c r="L40" s="373">
        <f t="shared" ref="L40:P40" si="31">C40-B40</f>
        <v>0</v>
      </c>
      <c r="M40" s="373">
        <f t="shared" si="31"/>
        <v>0</v>
      </c>
      <c r="N40" s="373">
        <f t="shared" si="31"/>
        <v>0</v>
      </c>
      <c r="O40" s="373">
        <f t="shared" si="31"/>
        <v>0</v>
      </c>
      <c r="P40" s="373">
        <f t="shared" si="31"/>
        <v>0</v>
      </c>
      <c r="Q40" s="182"/>
      <c r="R40" s="182"/>
      <c r="S40" s="182"/>
      <c r="T40" s="182"/>
      <c r="U40" s="182"/>
      <c r="V40" s="182"/>
      <c r="W40" s="182"/>
      <c r="X40" s="182"/>
      <c r="Y40" s="182"/>
      <c r="Z40" s="182"/>
    </row>
    <row r="41" spans="1:26" ht="12.75" customHeight="1">
      <c r="A41" s="374" t="s">
        <v>183</v>
      </c>
      <c r="B41" s="184">
        <f>'Page 4-Year 0'!D41</f>
        <v>0</v>
      </c>
      <c r="C41" s="184">
        <f>'Page 5-Year 1'!E41</f>
        <v>82729</v>
      </c>
      <c r="D41" s="184">
        <f>'Page 6-Year 2'!E41</f>
        <v>84384</v>
      </c>
      <c r="E41" s="184">
        <f>'Page 7-Year 3'!E41</f>
        <v>86072</v>
      </c>
      <c r="F41" s="184">
        <f>'Page 8-Year 4'!E41</f>
        <v>87793</v>
      </c>
      <c r="G41" s="184">
        <f>'Page 9-Year 5'!E41</f>
        <v>89549</v>
      </c>
      <c r="H41" s="181"/>
      <c r="I41" s="182"/>
      <c r="J41" s="192" t="s">
        <v>183</v>
      </c>
      <c r="K41" s="365">
        <f>'Page 4-Year 0'!L41</f>
        <v>0</v>
      </c>
      <c r="L41" s="373">
        <f t="shared" ref="L41:P41" si="32">C41-B41</f>
        <v>82729</v>
      </c>
      <c r="M41" s="373">
        <f t="shared" si="32"/>
        <v>1655</v>
      </c>
      <c r="N41" s="373">
        <f t="shared" si="32"/>
        <v>1688</v>
      </c>
      <c r="O41" s="373">
        <f t="shared" si="32"/>
        <v>1721</v>
      </c>
      <c r="P41" s="373">
        <f t="shared" si="32"/>
        <v>1756</v>
      </c>
      <c r="Q41" s="182"/>
      <c r="R41" s="182"/>
      <c r="S41" s="182"/>
      <c r="T41" s="182"/>
      <c r="U41" s="182"/>
      <c r="V41" s="182"/>
      <c r="W41" s="182"/>
      <c r="X41" s="182"/>
      <c r="Y41" s="182"/>
      <c r="Z41" s="182"/>
    </row>
    <row r="42" spans="1:26" ht="12.75" customHeight="1">
      <c r="A42" s="372" t="s">
        <v>184</v>
      </c>
      <c r="B42" s="184">
        <f>'Page 4-Year 0'!D42</f>
        <v>700</v>
      </c>
      <c r="C42" s="184">
        <f>'Page 5-Year 1'!E42</f>
        <v>1224</v>
      </c>
      <c r="D42" s="184">
        <f>'Page 6-Year 2'!E42</f>
        <v>2289</v>
      </c>
      <c r="E42" s="184">
        <f>'Page 7-Year 3'!E42</f>
        <v>2319.6</v>
      </c>
      <c r="F42" s="184">
        <f>'Page 8-Year 4'!E42</f>
        <v>2634</v>
      </c>
      <c r="G42" s="184">
        <f>'Page 9-Year 5'!E42</f>
        <v>3204</v>
      </c>
      <c r="H42" s="181"/>
      <c r="I42" s="182"/>
      <c r="J42" s="191" t="s">
        <v>184</v>
      </c>
      <c r="K42" s="365">
        <f>'Page 4-Year 0'!L42</f>
        <v>0</v>
      </c>
      <c r="L42" s="373">
        <f t="shared" ref="L42:P42" si="33">C42-B42</f>
        <v>524</v>
      </c>
      <c r="M42" s="373">
        <f t="shared" si="33"/>
        <v>1065</v>
      </c>
      <c r="N42" s="373">
        <f t="shared" si="33"/>
        <v>30.599999999999909</v>
      </c>
      <c r="O42" s="373">
        <f t="shared" si="33"/>
        <v>314.40000000000009</v>
      </c>
      <c r="P42" s="373">
        <f t="shared" si="33"/>
        <v>570</v>
      </c>
      <c r="Q42" s="182"/>
      <c r="R42" s="182"/>
      <c r="S42" s="182"/>
      <c r="T42" s="182"/>
      <c r="U42" s="182"/>
      <c r="V42" s="182"/>
      <c r="W42" s="182"/>
      <c r="X42" s="182"/>
      <c r="Y42" s="182"/>
      <c r="Z42" s="182"/>
    </row>
    <row r="43" spans="1:26" ht="12.75" customHeight="1">
      <c r="A43" s="372" t="s">
        <v>185</v>
      </c>
      <c r="B43" s="184">
        <f>'Page 4-Year 0'!D43</f>
        <v>5000</v>
      </c>
      <c r="C43" s="184">
        <f>'Page 5-Year 1'!E43</f>
        <v>17500</v>
      </c>
      <c r="D43" s="184">
        <f>'Page 6-Year 2'!E43</f>
        <v>25000</v>
      </c>
      <c r="E43" s="184">
        <f>'Page 7-Year 3'!E43</f>
        <v>46500</v>
      </c>
      <c r="F43" s="184">
        <f>'Page 8-Year 4'!E43</f>
        <v>50000</v>
      </c>
      <c r="G43" s="184">
        <f>'Page 9-Year 5'!E43</f>
        <v>57000</v>
      </c>
      <c r="H43" s="181"/>
      <c r="I43" s="182"/>
      <c r="J43" s="191" t="s">
        <v>185</v>
      </c>
      <c r="K43" s="365">
        <f>'Page 4-Year 0'!L43</f>
        <v>0</v>
      </c>
      <c r="L43" s="373">
        <f t="shared" ref="L43:P43" si="34">C43-B43</f>
        <v>12500</v>
      </c>
      <c r="M43" s="373">
        <f t="shared" si="34"/>
        <v>7500</v>
      </c>
      <c r="N43" s="373">
        <f t="shared" si="34"/>
        <v>21500</v>
      </c>
      <c r="O43" s="373">
        <f t="shared" si="34"/>
        <v>3500</v>
      </c>
      <c r="P43" s="373">
        <f t="shared" si="34"/>
        <v>7000</v>
      </c>
      <c r="Q43" s="182"/>
      <c r="R43" s="182"/>
      <c r="S43" s="182"/>
      <c r="T43" s="182"/>
      <c r="U43" s="182"/>
      <c r="V43" s="182"/>
      <c r="W43" s="182"/>
      <c r="X43" s="182"/>
      <c r="Y43" s="182"/>
      <c r="Z43" s="182"/>
    </row>
    <row r="44" spans="1:26" ht="12.75" customHeight="1">
      <c r="A44" s="372" t="s">
        <v>186</v>
      </c>
      <c r="B44" s="184">
        <f>'Page 4-Year 0'!D44</f>
        <v>1500</v>
      </c>
      <c r="C44" s="184">
        <f>'Page 5-Year 1'!E44</f>
        <v>2460</v>
      </c>
      <c r="D44" s="184">
        <f>'Page 6-Year 2'!E44</f>
        <v>1327</v>
      </c>
      <c r="E44" s="184">
        <f>'Page 7-Year 3'!E44</f>
        <v>4566</v>
      </c>
      <c r="F44" s="184">
        <f>'Page 8-Year 4'!E44</f>
        <v>8000</v>
      </c>
      <c r="G44" s="184">
        <f>'Page 9-Year 5'!E44</f>
        <v>9600</v>
      </c>
      <c r="H44" s="181"/>
      <c r="I44" s="182"/>
      <c r="J44" s="191" t="s">
        <v>186</v>
      </c>
      <c r="K44" s="365">
        <f>'Page 4-Year 0'!L44</f>
        <v>0</v>
      </c>
      <c r="L44" s="373">
        <f t="shared" ref="L44:P44" si="35">C44-B44</f>
        <v>960</v>
      </c>
      <c r="M44" s="373">
        <f t="shared" si="35"/>
        <v>-1133</v>
      </c>
      <c r="N44" s="373">
        <f t="shared" si="35"/>
        <v>3239</v>
      </c>
      <c r="O44" s="373">
        <f t="shared" si="35"/>
        <v>3434</v>
      </c>
      <c r="P44" s="373">
        <f t="shared" si="35"/>
        <v>1600</v>
      </c>
      <c r="Q44" s="182"/>
      <c r="R44" s="182"/>
      <c r="S44" s="182"/>
      <c r="T44" s="182"/>
      <c r="U44" s="182"/>
      <c r="V44" s="182"/>
      <c r="W44" s="182"/>
      <c r="X44" s="182"/>
      <c r="Y44" s="182"/>
      <c r="Z44" s="182"/>
    </row>
    <row r="45" spans="1:26" ht="12.75" customHeight="1">
      <c r="A45" s="372" t="s">
        <v>187</v>
      </c>
      <c r="B45" s="184">
        <f>'Page 4-Year 0'!D45</f>
        <v>3000</v>
      </c>
      <c r="C45" s="184">
        <f>'Page 5-Year 1'!E45</f>
        <v>3500</v>
      </c>
      <c r="D45" s="184">
        <f>'Page 6-Year 2'!E45</f>
        <v>2000</v>
      </c>
      <c r="E45" s="184">
        <f>'Page 7-Year 3'!E45</f>
        <v>2040</v>
      </c>
      <c r="F45" s="184">
        <f>'Page 8-Year 4'!E45</f>
        <v>2000</v>
      </c>
      <c r="G45" s="184">
        <f>'Page 9-Year 5'!E45</f>
        <v>2100</v>
      </c>
      <c r="H45" s="181"/>
      <c r="I45" s="182"/>
      <c r="J45" s="191" t="s">
        <v>187</v>
      </c>
      <c r="K45" s="365">
        <f>'Page 4-Year 0'!L45</f>
        <v>0</v>
      </c>
      <c r="L45" s="373">
        <f t="shared" ref="L45:P45" si="36">C45-B45</f>
        <v>500</v>
      </c>
      <c r="M45" s="373">
        <f t="shared" si="36"/>
        <v>-1500</v>
      </c>
      <c r="N45" s="373">
        <f t="shared" si="36"/>
        <v>40</v>
      </c>
      <c r="O45" s="373">
        <f t="shared" si="36"/>
        <v>-40</v>
      </c>
      <c r="P45" s="373">
        <f t="shared" si="36"/>
        <v>100</v>
      </c>
      <c r="Q45" s="182"/>
      <c r="R45" s="182"/>
      <c r="S45" s="182"/>
      <c r="T45" s="182"/>
      <c r="U45" s="182"/>
      <c r="V45" s="182"/>
      <c r="W45" s="182"/>
      <c r="X45" s="182"/>
      <c r="Y45" s="182"/>
      <c r="Z45" s="182"/>
    </row>
    <row r="46" spans="1:26" ht="12.75" customHeight="1">
      <c r="A46" s="372" t="s">
        <v>188</v>
      </c>
      <c r="B46" s="184">
        <f>'Page 4-Year 0'!D46</f>
        <v>8100</v>
      </c>
      <c r="C46" s="184">
        <f>'Page 5-Year 1'!E46</f>
        <v>20200</v>
      </c>
      <c r="D46" s="184">
        <f>'Page 6-Year 2'!E46</f>
        <v>20200</v>
      </c>
      <c r="E46" s="184">
        <f>'Page 7-Year 3'!E46</f>
        <v>20200</v>
      </c>
      <c r="F46" s="184">
        <f>'Page 8-Year 4'!E46</f>
        <v>20200</v>
      </c>
      <c r="G46" s="184">
        <f>'Page 9-Year 5'!E46</f>
        <v>20200</v>
      </c>
      <c r="H46" s="181"/>
      <c r="I46" s="182"/>
      <c r="J46" s="191" t="s">
        <v>188</v>
      </c>
      <c r="K46" s="365">
        <f>'Page 4-Year 0'!L46</f>
        <v>0</v>
      </c>
      <c r="L46" s="373">
        <f t="shared" ref="L46:P46" si="37">C46-B46</f>
        <v>12100</v>
      </c>
      <c r="M46" s="373">
        <f t="shared" si="37"/>
        <v>0</v>
      </c>
      <c r="N46" s="373">
        <f t="shared" si="37"/>
        <v>0</v>
      </c>
      <c r="O46" s="373">
        <f t="shared" si="37"/>
        <v>0</v>
      </c>
      <c r="P46" s="373">
        <f t="shared" si="37"/>
        <v>0</v>
      </c>
      <c r="Q46" s="182"/>
      <c r="R46" s="182"/>
      <c r="S46" s="182"/>
      <c r="T46" s="182"/>
      <c r="U46" s="182"/>
      <c r="V46" s="182"/>
      <c r="W46" s="182"/>
      <c r="X46" s="182"/>
      <c r="Y46" s="182"/>
      <c r="Z46" s="182"/>
    </row>
    <row r="47" spans="1:26" ht="12.75" customHeight="1">
      <c r="A47" s="372" t="s">
        <v>189</v>
      </c>
      <c r="B47" s="184">
        <f>'Page 4-Year 0'!D47</f>
        <v>13000</v>
      </c>
      <c r="C47" s="184">
        <f>'Page 5-Year 1'!E47</f>
        <v>28628</v>
      </c>
      <c r="D47" s="184">
        <f>'Page 6-Year 2'!E47</f>
        <v>29955.16</v>
      </c>
      <c r="E47" s="184">
        <f>'Page 7-Year 3'!E47</f>
        <v>39842.112000000008</v>
      </c>
      <c r="F47" s="184">
        <f>'Page 8-Year 4'!E47</f>
        <v>47359.472000000002</v>
      </c>
      <c r="G47" s="184">
        <f>'Page 9-Year 5'!E47</f>
        <v>58420.480000000003</v>
      </c>
      <c r="H47" s="181"/>
      <c r="I47" s="182"/>
      <c r="J47" s="191" t="s">
        <v>189</v>
      </c>
      <c r="K47" s="365">
        <f>'Page 4-Year 0'!L47</f>
        <v>0</v>
      </c>
      <c r="L47" s="373">
        <f t="shared" ref="L47:P47" si="38">C47-B47</f>
        <v>15628</v>
      </c>
      <c r="M47" s="373">
        <f t="shared" si="38"/>
        <v>1327.1599999999999</v>
      </c>
      <c r="N47" s="373">
        <f t="shared" si="38"/>
        <v>9886.9520000000084</v>
      </c>
      <c r="O47" s="373">
        <f t="shared" si="38"/>
        <v>7517.3599999999933</v>
      </c>
      <c r="P47" s="373">
        <f t="shared" si="38"/>
        <v>11061.008000000002</v>
      </c>
      <c r="Q47" s="182"/>
      <c r="R47" s="182"/>
      <c r="S47" s="182"/>
      <c r="T47" s="182"/>
      <c r="U47" s="182"/>
      <c r="V47" s="182"/>
      <c r="W47" s="182"/>
      <c r="X47" s="182"/>
      <c r="Y47" s="182"/>
      <c r="Z47" s="182"/>
    </row>
    <row r="48" spans="1:26" ht="12.75" customHeight="1">
      <c r="A48" s="372" t="s">
        <v>190</v>
      </c>
      <c r="B48" s="184">
        <f>'Page 4-Year 0'!D48</f>
        <v>2500</v>
      </c>
      <c r="C48" s="184">
        <f>'Page 5-Year 1'!E48</f>
        <v>5000</v>
      </c>
      <c r="D48" s="184">
        <f>'Page 6-Year 2'!E48</f>
        <v>5000</v>
      </c>
      <c r="E48" s="184">
        <f>'Page 7-Year 3'!E48</f>
        <v>5100</v>
      </c>
      <c r="F48" s="184">
        <f>'Page 8-Year 4'!E48</f>
        <v>2000</v>
      </c>
      <c r="G48" s="184">
        <f>'Page 9-Year 5'!E48</f>
        <v>2100</v>
      </c>
      <c r="H48" s="181"/>
      <c r="I48" s="182"/>
      <c r="J48" s="191" t="s">
        <v>190</v>
      </c>
      <c r="K48" s="365">
        <f>'Page 4-Year 0'!L48</f>
        <v>0</v>
      </c>
      <c r="L48" s="373">
        <f t="shared" ref="L48:P48" si="39">C48-B48</f>
        <v>2500</v>
      </c>
      <c r="M48" s="373">
        <f t="shared" si="39"/>
        <v>0</v>
      </c>
      <c r="N48" s="373">
        <f t="shared" si="39"/>
        <v>100</v>
      </c>
      <c r="O48" s="373">
        <f t="shared" si="39"/>
        <v>-3100</v>
      </c>
      <c r="P48" s="373">
        <f t="shared" si="39"/>
        <v>100</v>
      </c>
      <c r="Q48" s="182"/>
      <c r="R48" s="182"/>
      <c r="S48" s="182"/>
      <c r="T48" s="182"/>
      <c r="U48" s="182"/>
      <c r="V48" s="182"/>
      <c r="W48" s="182"/>
      <c r="X48" s="182"/>
      <c r="Y48" s="182"/>
      <c r="Z48" s="182"/>
    </row>
    <row r="49" spans="1:26" ht="12.75" customHeight="1">
      <c r="A49" s="372" t="s">
        <v>244</v>
      </c>
      <c r="B49" s="184">
        <f>'Page 4-Year 0'!D49</f>
        <v>600</v>
      </c>
      <c r="C49" s="184">
        <f>'Page 5-Year 1'!E49</f>
        <v>4549.2</v>
      </c>
      <c r="D49" s="184">
        <f>'Page 6-Year 2'!E49</f>
        <v>8239.9680000000008</v>
      </c>
      <c r="E49" s="184">
        <f>'Page 7-Year 3'!E49</f>
        <v>9805.5619200000001</v>
      </c>
      <c r="F49" s="184">
        <f>'Page 8-Year 4'!E49</f>
        <v>17145.7254144</v>
      </c>
      <c r="G49" s="184">
        <f>'Page 9-Year 5'!E49</f>
        <v>17488.639922687998</v>
      </c>
      <c r="H49" s="181"/>
      <c r="I49" s="182"/>
      <c r="J49" s="191" t="s">
        <v>244</v>
      </c>
      <c r="K49" s="365">
        <f>'Page 4-Year 0'!L49</f>
        <v>0</v>
      </c>
      <c r="L49" s="373">
        <f t="shared" ref="L49:P49" si="40">C49-B49</f>
        <v>3949.2</v>
      </c>
      <c r="M49" s="373">
        <f t="shared" si="40"/>
        <v>3690.7680000000009</v>
      </c>
      <c r="N49" s="373">
        <f t="shared" si="40"/>
        <v>1565.5939199999993</v>
      </c>
      <c r="O49" s="373">
        <f t="shared" si="40"/>
        <v>7340.1634943999998</v>
      </c>
      <c r="P49" s="373">
        <f t="shared" si="40"/>
        <v>342.91450828799861</v>
      </c>
      <c r="Q49" s="182"/>
      <c r="R49" s="182"/>
      <c r="S49" s="182"/>
      <c r="T49" s="182"/>
      <c r="U49" s="182"/>
      <c r="V49" s="182"/>
      <c r="W49" s="182"/>
      <c r="X49" s="182"/>
      <c r="Y49" s="182"/>
      <c r="Z49" s="182"/>
    </row>
    <row r="50" spans="1:26" ht="12.75" customHeight="1">
      <c r="A50" s="372" t="s">
        <v>192</v>
      </c>
      <c r="B50" s="184">
        <f>'Page 4-Year 0'!D50</f>
        <v>0</v>
      </c>
      <c r="C50" s="184">
        <f>'Page 5-Year 1'!E50</f>
        <v>0</v>
      </c>
      <c r="D50" s="184">
        <f>'Page 6-Year 2'!E50</f>
        <v>0</v>
      </c>
      <c r="E50" s="184">
        <f>'Page 7-Year 3'!E50</f>
        <v>0</v>
      </c>
      <c r="F50" s="184">
        <f>'Page 8-Year 4'!E50</f>
        <v>0</v>
      </c>
      <c r="G50" s="184">
        <f>'Page 9-Year 5'!E50</f>
        <v>0</v>
      </c>
      <c r="H50" s="181"/>
      <c r="I50" s="182"/>
      <c r="J50" s="191" t="s">
        <v>192</v>
      </c>
      <c r="K50" s="365">
        <f>'Page 4-Year 0'!L50</f>
        <v>0</v>
      </c>
      <c r="L50" s="373">
        <f t="shared" ref="L50:P50" si="41">C50-B50</f>
        <v>0</v>
      </c>
      <c r="M50" s="373">
        <f t="shared" si="41"/>
        <v>0</v>
      </c>
      <c r="N50" s="373">
        <f t="shared" si="41"/>
        <v>0</v>
      </c>
      <c r="O50" s="373">
        <f t="shared" si="41"/>
        <v>0</v>
      </c>
      <c r="P50" s="373">
        <f t="shared" si="41"/>
        <v>0</v>
      </c>
      <c r="Q50" s="182"/>
      <c r="R50" s="182"/>
      <c r="S50" s="182"/>
      <c r="T50" s="182"/>
      <c r="U50" s="182"/>
      <c r="V50" s="182"/>
      <c r="W50" s="182"/>
      <c r="X50" s="182"/>
      <c r="Y50" s="182"/>
      <c r="Z50" s="182"/>
    </row>
    <row r="51" spans="1:26" ht="12.75" customHeight="1">
      <c r="A51" s="372" t="s">
        <v>193</v>
      </c>
      <c r="B51" s="184">
        <f>'Page 4-Year 0'!D51</f>
        <v>0</v>
      </c>
      <c r="C51" s="184">
        <f>'Page 5-Year 1'!E51</f>
        <v>1800</v>
      </c>
      <c r="D51" s="184">
        <f>'Page 6-Year 2'!E51</f>
        <v>2670</v>
      </c>
      <c r="E51" s="184">
        <f>'Page 7-Year 3'!E51</f>
        <v>4680</v>
      </c>
      <c r="F51" s="184">
        <f>'Page 8-Year 4'!E51</f>
        <v>4980</v>
      </c>
      <c r="G51" s="184">
        <f>'Page 9-Year 5'!E51</f>
        <v>6480</v>
      </c>
      <c r="H51" s="181"/>
      <c r="I51" s="182"/>
      <c r="J51" s="191" t="s">
        <v>193</v>
      </c>
      <c r="K51" s="365">
        <f>'Page 4-Year 0'!L51</f>
        <v>0</v>
      </c>
      <c r="L51" s="373">
        <f t="shared" ref="L51:P51" si="42">C51-B51</f>
        <v>1800</v>
      </c>
      <c r="M51" s="373">
        <f t="shared" si="42"/>
        <v>870</v>
      </c>
      <c r="N51" s="373">
        <f t="shared" si="42"/>
        <v>2010</v>
      </c>
      <c r="O51" s="373">
        <f t="shared" si="42"/>
        <v>300</v>
      </c>
      <c r="P51" s="373">
        <f t="shared" si="42"/>
        <v>1500</v>
      </c>
      <c r="Q51" s="182"/>
      <c r="R51" s="182"/>
      <c r="S51" s="182"/>
      <c r="T51" s="182"/>
      <c r="U51" s="182"/>
      <c r="V51" s="182"/>
      <c r="W51" s="182"/>
      <c r="X51" s="182"/>
      <c r="Y51" s="182"/>
      <c r="Z51" s="182"/>
    </row>
    <row r="52" spans="1:26" ht="12.75" customHeight="1">
      <c r="A52" s="372" t="s">
        <v>194</v>
      </c>
      <c r="B52" s="184">
        <f>'Page 4-Year 0'!D52</f>
        <v>9000</v>
      </c>
      <c r="C52" s="184">
        <f>'Page 5-Year 1'!E52</f>
        <v>48000</v>
      </c>
      <c r="D52" s="184">
        <f>'Page 6-Year 2'!E52</f>
        <v>53400</v>
      </c>
      <c r="E52" s="184">
        <f>'Page 7-Year 3'!E52</f>
        <v>93600</v>
      </c>
      <c r="F52" s="184">
        <f>'Page 8-Year 4'!E52</f>
        <v>99600</v>
      </c>
      <c r="G52" s="184">
        <f>'Page 9-Year 5'!E52</f>
        <v>129600</v>
      </c>
      <c r="H52" s="181"/>
      <c r="I52" s="182"/>
      <c r="J52" s="191" t="s">
        <v>194</v>
      </c>
      <c r="K52" s="365">
        <f>'Page 4-Year 0'!L52</f>
        <v>0</v>
      </c>
      <c r="L52" s="373">
        <f t="shared" ref="L52:P52" si="43">C52-B52</f>
        <v>39000</v>
      </c>
      <c r="M52" s="373">
        <f t="shared" si="43"/>
        <v>5400</v>
      </c>
      <c r="N52" s="373">
        <f t="shared" si="43"/>
        <v>40200</v>
      </c>
      <c r="O52" s="373">
        <f t="shared" si="43"/>
        <v>6000</v>
      </c>
      <c r="P52" s="373">
        <f t="shared" si="43"/>
        <v>30000</v>
      </c>
      <c r="Q52" s="182"/>
      <c r="R52" s="182"/>
      <c r="S52" s="182"/>
      <c r="T52" s="182"/>
      <c r="U52" s="182"/>
      <c r="V52" s="182"/>
      <c r="W52" s="182"/>
      <c r="X52" s="182"/>
      <c r="Y52" s="182"/>
      <c r="Z52" s="182"/>
    </row>
    <row r="53" spans="1:26" ht="12.75" customHeight="1">
      <c r="A53" s="372" t="s">
        <v>195</v>
      </c>
      <c r="B53" s="184">
        <f>'Page 4-Year 0'!D53</f>
        <v>1000</v>
      </c>
      <c r="C53" s="184">
        <f>'Page 5-Year 1'!E53</f>
        <v>2000</v>
      </c>
      <c r="D53" s="184">
        <f>'Page 6-Year 2'!E53</f>
        <v>2000</v>
      </c>
      <c r="E53" s="184">
        <f>'Page 7-Year 3'!E53</f>
        <v>2000</v>
      </c>
      <c r="F53" s="184">
        <f>'Page 8-Year 4'!E53</f>
        <v>4000</v>
      </c>
      <c r="G53" s="184">
        <f>'Page 9-Year 5'!E53</f>
        <v>4000</v>
      </c>
      <c r="H53" s="181"/>
      <c r="I53" s="182"/>
      <c r="J53" s="191" t="s">
        <v>195</v>
      </c>
      <c r="K53" s="365">
        <f>'Page 4-Year 0'!L53</f>
        <v>0</v>
      </c>
      <c r="L53" s="373">
        <f t="shared" ref="L53:P53" si="44">C53-B53</f>
        <v>1000</v>
      </c>
      <c r="M53" s="373">
        <f t="shared" si="44"/>
        <v>0</v>
      </c>
      <c r="N53" s="373">
        <f t="shared" si="44"/>
        <v>0</v>
      </c>
      <c r="O53" s="373">
        <f t="shared" si="44"/>
        <v>2000</v>
      </c>
      <c r="P53" s="373">
        <f t="shared" si="44"/>
        <v>0</v>
      </c>
      <c r="Q53" s="182"/>
      <c r="R53" s="182"/>
      <c r="S53" s="182"/>
      <c r="T53" s="182"/>
      <c r="U53" s="182"/>
      <c r="V53" s="182"/>
      <c r="W53" s="182"/>
      <c r="X53" s="182"/>
      <c r="Y53" s="182"/>
      <c r="Z53" s="182"/>
    </row>
    <row r="54" spans="1:26" ht="12.75" customHeight="1">
      <c r="A54" s="372" t="s">
        <v>196</v>
      </c>
      <c r="B54" s="184">
        <f>'Page 4-Year 0'!D54</f>
        <v>2944</v>
      </c>
      <c r="C54" s="184">
        <f>'Page 5-Year 1'!E54</f>
        <v>9400.32</v>
      </c>
      <c r="D54" s="184">
        <f>'Page 6-Year 2'!E54</f>
        <v>12784.4352</v>
      </c>
      <c r="E54" s="184">
        <f>'Page 7-Year 3'!E54</f>
        <v>19560.185856</v>
      </c>
      <c r="F54" s="184">
        <f>'Page 8-Year 4'!E54</f>
        <v>22168.210636799999</v>
      </c>
      <c r="G54" s="184">
        <f>'Page 9-Year 5'!E54</f>
        <v>27133.8898194432</v>
      </c>
      <c r="H54" s="181"/>
      <c r="I54" s="182"/>
      <c r="J54" s="191" t="s">
        <v>196</v>
      </c>
      <c r="K54" s="365">
        <f>'Page 4-Year 0'!L54</f>
        <v>0</v>
      </c>
      <c r="L54" s="373">
        <f t="shared" ref="L54:P54" si="45">C54-B54</f>
        <v>6456.32</v>
      </c>
      <c r="M54" s="373">
        <f t="shared" si="45"/>
        <v>3384.1152000000002</v>
      </c>
      <c r="N54" s="373">
        <f t="shared" si="45"/>
        <v>6775.7506560000002</v>
      </c>
      <c r="O54" s="373">
        <f t="shared" si="45"/>
        <v>2608.0247807999986</v>
      </c>
      <c r="P54" s="373">
        <f t="shared" si="45"/>
        <v>4965.6791826432018</v>
      </c>
      <c r="Q54" s="182"/>
      <c r="R54" s="182"/>
      <c r="S54" s="182"/>
      <c r="T54" s="182"/>
      <c r="U54" s="182"/>
      <c r="V54" s="182"/>
      <c r="W54" s="182"/>
      <c r="X54" s="182"/>
      <c r="Y54" s="182"/>
      <c r="Z54" s="182"/>
    </row>
    <row r="55" spans="1:26" ht="12.75" customHeight="1">
      <c r="A55" s="372" t="s">
        <v>197</v>
      </c>
      <c r="B55" s="184">
        <f>'Page 4-Year 0'!D55</f>
        <v>161.25</v>
      </c>
      <c r="C55" s="184">
        <f>'Page 5-Year 1'!E55</f>
        <v>1482.9</v>
      </c>
      <c r="D55" s="184">
        <f>'Page 6-Year 2'!E55</f>
        <v>1893.48</v>
      </c>
      <c r="E55" s="184">
        <f>'Page 7-Year 3'!E55</f>
        <v>3037.7280000000001</v>
      </c>
      <c r="F55" s="184">
        <f>'Page 8-Year 4'!E55</f>
        <v>3467.4</v>
      </c>
      <c r="G55" s="184">
        <f>'Page 9-Year 5'!E55</f>
        <v>4256.8950000000004</v>
      </c>
      <c r="H55" s="181"/>
      <c r="I55" s="182"/>
      <c r="J55" s="191" t="s">
        <v>197</v>
      </c>
      <c r="K55" s="365">
        <f>'Page 4-Year 0'!L55</f>
        <v>0</v>
      </c>
      <c r="L55" s="373">
        <f t="shared" ref="L55:P55" si="46">C55-B55</f>
        <v>1321.65</v>
      </c>
      <c r="M55" s="373">
        <f t="shared" si="46"/>
        <v>410.57999999999993</v>
      </c>
      <c r="N55" s="373">
        <f t="shared" si="46"/>
        <v>1144.248</v>
      </c>
      <c r="O55" s="373">
        <f t="shared" si="46"/>
        <v>429.67200000000003</v>
      </c>
      <c r="P55" s="373">
        <f t="shared" si="46"/>
        <v>789.49500000000035</v>
      </c>
      <c r="Q55" s="182"/>
      <c r="R55" s="182"/>
      <c r="S55" s="182"/>
      <c r="T55" s="182"/>
      <c r="U55" s="182"/>
      <c r="V55" s="182"/>
      <c r="W55" s="182"/>
      <c r="X55" s="182"/>
      <c r="Y55" s="182"/>
      <c r="Z55" s="182"/>
    </row>
    <row r="56" spans="1:26" ht="12.75" customHeight="1">
      <c r="A56" s="372" t="s">
        <v>198</v>
      </c>
      <c r="B56" s="184">
        <f>'Page 4-Year 0'!D56</f>
        <v>0</v>
      </c>
      <c r="C56" s="184">
        <f>'Page 5-Year 1'!E56</f>
        <v>9886</v>
      </c>
      <c r="D56" s="184">
        <f>'Page 6-Year 2'!E56</f>
        <v>12623.2</v>
      </c>
      <c r="E56" s="184">
        <f>'Page 7-Year 3'!E56</f>
        <v>20251.52</v>
      </c>
      <c r="F56" s="184">
        <f>'Page 8-Year 4'!E56</f>
        <v>23116</v>
      </c>
      <c r="G56" s="184">
        <f>'Page 9-Year 5'!E56</f>
        <v>28379.3</v>
      </c>
      <c r="H56" s="181"/>
      <c r="I56" s="182"/>
      <c r="J56" s="191" t="s">
        <v>198</v>
      </c>
      <c r="K56" s="365">
        <f>'Page 4-Year 0'!L56</f>
        <v>0</v>
      </c>
      <c r="L56" s="373">
        <f t="shared" ref="L56:P56" si="47">C56-B56</f>
        <v>9886</v>
      </c>
      <c r="M56" s="373">
        <f t="shared" si="47"/>
        <v>2737.2000000000007</v>
      </c>
      <c r="N56" s="373">
        <f t="shared" si="47"/>
        <v>7628.32</v>
      </c>
      <c r="O56" s="373">
        <f t="shared" si="47"/>
        <v>2864.4799999999996</v>
      </c>
      <c r="P56" s="373">
        <f t="shared" si="47"/>
        <v>5263.2999999999993</v>
      </c>
      <c r="Q56" s="182"/>
      <c r="R56" s="182"/>
      <c r="S56" s="182"/>
      <c r="T56" s="182"/>
      <c r="U56" s="182"/>
      <c r="V56" s="182"/>
      <c r="W56" s="182"/>
      <c r="X56" s="182"/>
      <c r="Y56" s="182"/>
      <c r="Z56" s="182"/>
    </row>
    <row r="57" spans="1:26" ht="12.75" customHeight="1">
      <c r="A57" s="372" t="s">
        <v>199</v>
      </c>
      <c r="B57" s="184">
        <f>'Page 4-Year 0'!D57</f>
        <v>0</v>
      </c>
      <c r="C57" s="184">
        <f>'Page 5-Year 1'!E57</f>
        <v>0</v>
      </c>
      <c r="D57" s="184">
        <f>'Page 6-Year 2'!E57</f>
        <v>0</v>
      </c>
      <c r="E57" s="184">
        <f>'Page 7-Year 3'!E57</f>
        <v>0</v>
      </c>
      <c r="F57" s="184">
        <f>'Page 8-Year 4'!E57</f>
        <v>0</v>
      </c>
      <c r="G57" s="184">
        <f>'Page 9-Year 5'!E57</f>
        <v>0</v>
      </c>
      <c r="H57" s="181"/>
      <c r="I57" s="182"/>
      <c r="J57" s="191" t="s">
        <v>199</v>
      </c>
      <c r="K57" s="365">
        <f>'Page 4-Year 0'!L57</f>
        <v>0</v>
      </c>
      <c r="L57" s="373">
        <f t="shared" ref="L57:P57" si="48">C57-B57</f>
        <v>0</v>
      </c>
      <c r="M57" s="373">
        <f t="shared" si="48"/>
        <v>0</v>
      </c>
      <c r="N57" s="373">
        <f t="shared" si="48"/>
        <v>0</v>
      </c>
      <c r="O57" s="373">
        <f t="shared" si="48"/>
        <v>0</v>
      </c>
      <c r="P57" s="373">
        <f t="shared" si="48"/>
        <v>0</v>
      </c>
      <c r="Q57" s="182"/>
      <c r="R57" s="182"/>
      <c r="S57" s="182"/>
      <c r="T57" s="182"/>
      <c r="U57" s="182"/>
      <c r="V57" s="182"/>
      <c r="W57" s="182"/>
      <c r="X57" s="182"/>
      <c r="Y57" s="182"/>
      <c r="Z57" s="182"/>
    </row>
    <row r="58" spans="1:26" ht="12.75" customHeight="1">
      <c r="A58" s="372" t="s">
        <v>200</v>
      </c>
      <c r="B58" s="184">
        <f>'Page 4-Year 0'!D58</f>
        <v>0</v>
      </c>
      <c r="C58" s="184">
        <f>'Page 5-Year 1'!E58</f>
        <v>19000</v>
      </c>
      <c r="D58" s="184">
        <f>'Page 6-Year 2'!E58</f>
        <v>38000</v>
      </c>
      <c r="E58" s="184">
        <f>'Page 7-Year 3'!E58</f>
        <v>40000</v>
      </c>
      <c r="F58" s="184">
        <f>'Page 8-Year 4'!E58</f>
        <v>60000</v>
      </c>
      <c r="G58" s="184">
        <f>'Page 9-Year 5'!E58</f>
        <v>60000</v>
      </c>
      <c r="H58" s="181"/>
      <c r="I58" s="182"/>
      <c r="J58" s="191" t="s">
        <v>245</v>
      </c>
      <c r="K58" s="365">
        <f>'Page 4-Year 0'!L58</f>
        <v>0</v>
      </c>
      <c r="L58" s="373">
        <f t="shared" ref="L58:P58" si="49">C58-B58</f>
        <v>19000</v>
      </c>
      <c r="M58" s="373">
        <f t="shared" si="49"/>
        <v>19000</v>
      </c>
      <c r="N58" s="373">
        <f t="shared" si="49"/>
        <v>2000</v>
      </c>
      <c r="O58" s="373">
        <f t="shared" si="49"/>
        <v>20000</v>
      </c>
      <c r="P58" s="373">
        <f t="shared" si="49"/>
        <v>0</v>
      </c>
      <c r="Q58" s="182"/>
      <c r="R58" s="182"/>
      <c r="S58" s="182"/>
      <c r="T58" s="182"/>
      <c r="U58" s="182"/>
      <c r="V58" s="182"/>
      <c r="W58" s="182"/>
      <c r="X58" s="182"/>
      <c r="Y58" s="182"/>
      <c r="Z58" s="182"/>
    </row>
    <row r="59" spans="1:26" ht="12.75" customHeight="1">
      <c r="A59" s="374" t="s">
        <v>201</v>
      </c>
      <c r="B59" s="184">
        <f>'Page 4-Year 0'!D59</f>
        <v>4000</v>
      </c>
      <c r="C59" s="184">
        <f>'Page 5-Year 1'!E59</f>
        <v>4000</v>
      </c>
      <c r="D59" s="184">
        <f>'Page 6-Year 2'!E59</f>
        <v>5000</v>
      </c>
      <c r="E59" s="184">
        <f>'Page 7-Year 3'!E59</f>
        <v>5000</v>
      </c>
      <c r="F59" s="184">
        <f>'Page 8-Year 4'!E59</f>
        <v>2000</v>
      </c>
      <c r="G59" s="184">
        <f>'Page 9-Year 5'!E59</f>
        <v>2000</v>
      </c>
      <c r="H59" s="181"/>
      <c r="I59" s="182"/>
      <c r="J59" s="192" t="s">
        <v>201</v>
      </c>
      <c r="K59" s="365">
        <f>'Page 4-Year 0'!L59</f>
        <v>0</v>
      </c>
      <c r="L59" s="373">
        <f t="shared" ref="L59:P59" si="50">C59-B59</f>
        <v>0</v>
      </c>
      <c r="M59" s="373">
        <f t="shared" si="50"/>
        <v>1000</v>
      </c>
      <c r="N59" s="373">
        <f t="shared" si="50"/>
        <v>0</v>
      </c>
      <c r="O59" s="373">
        <f t="shared" si="50"/>
        <v>-3000</v>
      </c>
      <c r="P59" s="373">
        <f t="shared" si="50"/>
        <v>0</v>
      </c>
      <c r="Q59" s="182"/>
      <c r="R59" s="182"/>
      <c r="S59" s="182"/>
      <c r="T59" s="182"/>
      <c r="U59" s="182"/>
      <c r="V59" s="182"/>
      <c r="W59" s="182"/>
      <c r="X59" s="182"/>
      <c r="Y59" s="182"/>
      <c r="Z59" s="182"/>
    </row>
    <row r="60" spans="1:26" ht="12.75" customHeight="1">
      <c r="A60" s="372" t="s">
        <v>202</v>
      </c>
      <c r="B60" s="184">
        <f>'Page 4-Year 0'!D60</f>
        <v>0</v>
      </c>
      <c r="C60" s="184">
        <f>'Page 5-Year 1'!E60</f>
        <v>0</v>
      </c>
      <c r="D60" s="184">
        <f>'Page 6-Year 2'!E60</f>
        <v>0</v>
      </c>
      <c r="E60" s="184">
        <f>'Page 7-Year 3'!E60</f>
        <v>0</v>
      </c>
      <c r="F60" s="184">
        <f>'Page 8-Year 4'!E60</f>
        <v>0</v>
      </c>
      <c r="G60" s="184">
        <f>'Page 9-Year 5'!E60</f>
        <v>0</v>
      </c>
      <c r="H60" s="181"/>
      <c r="I60" s="182"/>
      <c r="J60" s="191" t="s">
        <v>202</v>
      </c>
      <c r="K60" s="365">
        <f>'Page 4-Year 0'!L60</f>
        <v>0</v>
      </c>
      <c r="L60" s="373">
        <f t="shared" ref="L60:P60" si="51">C60-B60</f>
        <v>0</v>
      </c>
      <c r="M60" s="373">
        <f t="shared" si="51"/>
        <v>0</v>
      </c>
      <c r="N60" s="373">
        <f t="shared" si="51"/>
        <v>0</v>
      </c>
      <c r="O60" s="373">
        <f t="shared" si="51"/>
        <v>0</v>
      </c>
      <c r="P60" s="373">
        <f t="shared" si="51"/>
        <v>0</v>
      </c>
      <c r="Q60" s="182"/>
      <c r="R60" s="182"/>
      <c r="S60" s="182"/>
      <c r="T60" s="182"/>
      <c r="U60" s="182"/>
      <c r="V60" s="182"/>
      <c r="W60" s="182"/>
      <c r="X60" s="182"/>
      <c r="Y60" s="182"/>
      <c r="Z60" s="182"/>
    </row>
    <row r="61" spans="1:26" ht="12.75" customHeight="1">
      <c r="A61" s="374" t="s">
        <v>203</v>
      </c>
      <c r="B61" s="184">
        <f>'Page 4-Year 0'!D61</f>
        <v>0</v>
      </c>
      <c r="C61" s="184">
        <f>'Page 5-Year 1'!E61</f>
        <v>16678.283399999997</v>
      </c>
      <c r="D61" s="184">
        <f>'Page 6-Year 2'!E61</f>
        <v>21653.971280999991</v>
      </c>
      <c r="E61" s="184">
        <f>'Page 7-Year 3'!E61</f>
        <v>30372.543928349987</v>
      </c>
      <c r="F61" s="184">
        <f>'Page 8-Year 4'!E61</f>
        <v>35921.374069106234</v>
      </c>
      <c r="G61" s="184">
        <f>'Page 9-Year 5'!E61</f>
        <v>40501.349262917269</v>
      </c>
      <c r="H61" s="181"/>
      <c r="I61" s="182"/>
      <c r="J61" s="191" t="s">
        <v>246</v>
      </c>
      <c r="K61" s="365">
        <f>'Page 4-Year 0'!L61</f>
        <v>0</v>
      </c>
      <c r="L61" s="373">
        <f t="shared" ref="L61:P61" si="52">C61-B61</f>
        <v>16678.283399999997</v>
      </c>
      <c r="M61" s="373">
        <f t="shared" si="52"/>
        <v>4975.6878809999944</v>
      </c>
      <c r="N61" s="373">
        <f t="shared" si="52"/>
        <v>8718.5726473499963</v>
      </c>
      <c r="O61" s="373">
        <f t="shared" si="52"/>
        <v>5548.8301407562467</v>
      </c>
      <c r="P61" s="373">
        <f t="shared" si="52"/>
        <v>4579.9751938110348</v>
      </c>
      <c r="Q61" s="182"/>
      <c r="R61" s="182"/>
      <c r="S61" s="182"/>
      <c r="T61" s="182"/>
      <c r="U61" s="182"/>
      <c r="V61" s="182"/>
      <c r="W61" s="182"/>
      <c r="X61" s="182"/>
      <c r="Y61" s="182"/>
      <c r="Z61" s="182"/>
    </row>
    <row r="62" spans="1:26" ht="12.75" customHeight="1">
      <c r="A62" s="374" t="s">
        <v>204</v>
      </c>
      <c r="B62" s="184">
        <f>'Page 4-Year 0'!D62</f>
        <v>0</v>
      </c>
      <c r="C62" s="184">
        <f>'Page 5-Year 1'!E62</f>
        <v>5559.4277999999995</v>
      </c>
      <c r="D62" s="184">
        <f>'Page 6-Year 2'!E62</f>
        <v>7217.9904269999979</v>
      </c>
      <c r="E62" s="184">
        <f>'Page 7-Year 3'!E62</f>
        <v>10124.181309449996</v>
      </c>
      <c r="F62" s="184">
        <f>'Page 8-Year 4'!E62</f>
        <v>11973.791356368745</v>
      </c>
      <c r="G62" s="184">
        <f>'Page 9-Year 5'!E62</f>
        <v>13500.449754305757</v>
      </c>
      <c r="H62" s="181"/>
      <c r="I62" s="182"/>
      <c r="J62" s="191" t="s">
        <v>204</v>
      </c>
      <c r="K62" s="365">
        <f>'Page 4-Year 0'!L62</f>
        <v>0</v>
      </c>
      <c r="L62" s="373">
        <f t="shared" ref="L62:P62" si="53">C62-B62</f>
        <v>5559.4277999999995</v>
      </c>
      <c r="M62" s="373">
        <f t="shared" si="53"/>
        <v>1658.5626269999984</v>
      </c>
      <c r="N62" s="373">
        <f t="shared" si="53"/>
        <v>2906.1908824499978</v>
      </c>
      <c r="O62" s="373">
        <f t="shared" si="53"/>
        <v>1849.6100469187495</v>
      </c>
      <c r="P62" s="373">
        <f t="shared" si="53"/>
        <v>1526.6583979370116</v>
      </c>
      <c r="Q62" s="182"/>
      <c r="R62" s="182"/>
      <c r="S62" s="182"/>
      <c r="T62" s="182"/>
      <c r="U62" s="182"/>
      <c r="V62" s="182"/>
      <c r="W62" s="182"/>
      <c r="X62" s="182"/>
      <c r="Y62" s="182"/>
      <c r="Z62" s="182"/>
    </row>
    <row r="63" spans="1:26" ht="12.75" customHeight="1">
      <c r="A63" s="372" t="s">
        <v>205</v>
      </c>
      <c r="B63" s="184">
        <f>'Page 4-Year 0'!D63</f>
        <v>46689</v>
      </c>
      <c r="C63" s="184">
        <f>'Page 5-Year 1'!E63</f>
        <v>5000</v>
      </c>
      <c r="D63" s="184">
        <f>'Page 6-Year 2'!E63</f>
        <v>30000</v>
      </c>
      <c r="E63" s="184">
        <f>'Page 7-Year 3'!E63</f>
        <v>28000</v>
      </c>
      <c r="F63" s="184">
        <f>'Page 8-Year 4'!E63</f>
        <v>29000</v>
      </c>
      <c r="G63" s="184">
        <f>'Page 9-Year 5'!E63</f>
        <v>22081.616064000002</v>
      </c>
      <c r="H63" s="181"/>
      <c r="I63" s="182"/>
      <c r="J63" s="191" t="s">
        <v>205</v>
      </c>
      <c r="K63" s="365">
        <f>'Page 4-Year 0'!L63</f>
        <v>0</v>
      </c>
      <c r="L63" s="373">
        <f t="shared" ref="L63:P63" si="54">C63-B63</f>
        <v>-41689</v>
      </c>
      <c r="M63" s="373">
        <f t="shared" si="54"/>
        <v>25000</v>
      </c>
      <c r="N63" s="373">
        <f t="shared" si="54"/>
        <v>-2000</v>
      </c>
      <c r="O63" s="373">
        <f t="shared" si="54"/>
        <v>1000</v>
      </c>
      <c r="P63" s="373">
        <f t="shared" si="54"/>
        <v>-6918.3839359999984</v>
      </c>
      <c r="Q63" s="182"/>
      <c r="R63" s="182"/>
      <c r="S63" s="182"/>
      <c r="T63" s="182"/>
      <c r="U63" s="182"/>
      <c r="V63" s="182"/>
      <c r="W63" s="182"/>
      <c r="X63" s="182"/>
      <c r="Y63" s="182"/>
      <c r="Z63" s="182"/>
    </row>
    <row r="64" spans="1:26" ht="12.75" customHeight="1">
      <c r="A64" s="372" t="s">
        <v>206</v>
      </c>
      <c r="B64" s="184">
        <f>'Page 4-Year 0'!D64</f>
        <v>2000</v>
      </c>
      <c r="C64" s="184">
        <f>'Page 5-Year 1'!E64</f>
        <v>1500</v>
      </c>
      <c r="D64" s="184">
        <f>'Page 6-Year 2'!E64</f>
        <v>1500</v>
      </c>
      <c r="E64" s="184">
        <f>'Page 7-Year 3'!E64</f>
        <v>0</v>
      </c>
      <c r="F64" s="184">
        <f>'Page 8-Year 4'!E64</f>
        <v>3500</v>
      </c>
      <c r="G64" s="184">
        <f>'Page 9-Year 5'!E64</f>
        <v>0</v>
      </c>
      <c r="H64" s="181"/>
      <c r="I64" s="182"/>
      <c r="J64" s="191" t="s">
        <v>206</v>
      </c>
      <c r="K64" s="365">
        <f>'Page 4-Year 0'!L64</f>
        <v>0</v>
      </c>
      <c r="L64" s="373">
        <f t="shared" ref="L64:P64" si="55">C64-B64</f>
        <v>-500</v>
      </c>
      <c r="M64" s="373">
        <f t="shared" si="55"/>
        <v>0</v>
      </c>
      <c r="N64" s="373">
        <f t="shared" si="55"/>
        <v>-1500</v>
      </c>
      <c r="O64" s="373">
        <f t="shared" si="55"/>
        <v>3500</v>
      </c>
      <c r="P64" s="373">
        <f t="shared" si="55"/>
        <v>-3500</v>
      </c>
      <c r="Q64" s="182"/>
      <c r="R64" s="182"/>
      <c r="S64" s="182"/>
      <c r="T64" s="182"/>
      <c r="U64" s="182"/>
      <c r="V64" s="182"/>
      <c r="W64" s="182"/>
      <c r="X64" s="182"/>
      <c r="Y64" s="182"/>
      <c r="Z64" s="182"/>
    </row>
    <row r="65" spans="1:26" ht="12.75" customHeight="1">
      <c r="A65" s="372" t="s">
        <v>207</v>
      </c>
      <c r="B65" s="184">
        <f>'Page 4-Year 0'!D65</f>
        <v>4000</v>
      </c>
      <c r="C65" s="184">
        <f>'Page 5-Year 1'!E65</f>
        <v>2040</v>
      </c>
      <c r="D65" s="184">
        <f>'Page 6-Year 2'!E65</f>
        <v>2080.8000000000002</v>
      </c>
      <c r="E65" s="184">
        <f>'Page 7-Year 3'!E65</f>
        <v>2122.4159999999997</v>
      </c>
      <c r="F65" s="184">
        <f>'Page 8-Year 4'!E65</f>
        <v>2164.8643200000001</v>
      </c>
      <c r="G65" s="184">
        <f>'Page 9-Year 5'!E65</f>
        <v>2208.1616064</v>
      </c>
      <c r="H65" s="181"/>
      <c r="I65" s="182"/>
      <c r="J65" s="191" t="s">
        <v>207</v>
      </c>
      <c r="K65" s="365">
        <f>'Page 4-Year 0'!L65</f>
        <v>0</v>
      </c>
      <c r="L65" s="373">
        <f t="shared" ref="L65:P65" si="56">C65-B65</f>
        <v>-1960</v>
      </c>
      <c r="M65" s="373">
        <f t="shared" si="56"/>
        <v>40.800000000000182</v>
      </c>
      <c r="N65" s="373">
        <f t="shared" si="56"/>
        <v>41.615999999999531</v>
      </c>
      <c r="O65" s="373">
        <f t="shared" si="56"/>
        <v>42.448320000000422</v>
      </c>
      <c r="P65" s="373">
        <f t="shared" si="56"/>
        <v>43.297286399999848</v>
      </c>
      <c r="Q65" s="182"/>
      <c r="R65" s="182"/>
      <c r="S65" s="182"/>
      <c r="T65" s="182"/>
      <c r="U65" s="182"/>
      <c r="V65" s="182"/>
      <c r="W65" s="182"/>
      <c r="X65" s="182"/>
      <c r="Y65" s="182"/>
      <c r="Z65" s="182"/>
    </row>
    <row r="66" spans="1:26" ht="12.75" customHeight="1">
      <c r="A66" s="372" t="s">
        <v>247</v>
      </c>
      <c r="B66" s="184">
        <f>'Page 4-Year 0'!D66</f>
        <v>15000</v>
      </c>
      <c r="C66" s="184">
        <f>'Page 5-Year 1'!E66</f>
        <v>0</v>
      </c>
      <c r="D66" s="184">
        <f>'Page 6-Year 2'!E66</f>
        <v>5000</v>
      </c>
      <c r="E66" s="184">
        <f>'Page 7-Year 3'!E66</f>
        <v>0</v>
      </c>
      <c r="F66" s="184">
        <f>'Page 8-Year 4'!E66</f>
        <v>5000</v>
      </c>
      <c r="G66" s="184">
        <f>'Page 9-Year 5'!E66</f>
        <v>5250</v>
      </c>
      <c r="H66" s="181"/>
      <c r="I66" s="182"/>
      <c r="J66" s="191" t="s">
        <v>208</v>
      </c>
      <c r="K66" s="365">
        <f>'Page 4-Year 0'!L66</f>
        <v>0</v>
      </c>
      <c r="L66" s="373">
        <f t="shared" ref="L66:P66" si="57">C66-B66</f>
        <v>-15000</v>
      </c>
      <c r="M66" s="373">
        <f t="shared" si="57"/>
        <v>5000</v>
      </c>
      <c r="N66" s="373">
        <f t="shared" si="57"/>
        <v>-5000</v>
      </c>
      <c r="O66" s="373">
        <f t="shared" si="57"/>
        <v>5000</v>
      </c>
      <c r="P66" s="373">
        <f t="shared" si="57"/>
        <v>250</v>
      </c>
      <c r="Q66" s="182"/>
      <c r="R66" s="182"/>
      <c r="S66" s="182"/>
      <c r="T66" s="182"/>
      <c r="U66" s="182"/>
      <c r="V66" s="182"/>
      <c r="W66" s="182"/>
      <c r="X66" s="182"/>
      <c r="Y66" s="182"/>
      <c r="Z66" s="182"/>
    </row>
    <row r="67" spans="1:26" ht="12.75" customHeight="1">
      <c r="A67" s="372" t="s">
        <v>209</v>
      </c>
      <c r="B67" s="184">
        <f>'Page 4-Year 0'!D67</f>
        <v>0</v>
      </c>
      <c r="C67" s="184">
        <f>'Page 5-Year 1'!E67</f>
        <v>0</v>
      </c>
      <c r="D67" s="184">
        <f>'Page 6-Year 2'!E67</f>
        <v>0</v>
      </c>
      <c r="E67" s="184">
        <f>'Page 7-Year 3'!E67</f>
        <v>0</v>
      </c>
      <c r="F67" s="184">
        <f>'Page 8-Year 4'!E67</f>
        <v>0</v>
      </c>
      <c r="G67" s="184">
        <f>'Page 9-Year 5'!E67</f>
        <v>0</v>
      </c>
      <c r="H67" s="181"/>
      <c r="I67" s="182"/>
      <c r="J67" s="191" t="s">
        <v>209</v>
      </c>
      <c r="K67" s="365">
        <f>'Page 4-Year 0'!L67</f>
        <v>0</v>
      </c>
      <c r="L67" s="373">
        <f t="shared" ref="L67:P67" si="58">C67-B67</f>
        <v>0</v>
      </c>
      <c r="M67" s="373">
        <f t="shared" si="58"/>
        <v>0</v>
      </c>
      <c r="N67" s="373">
        <f t="shared" si="58"/>
        <v>0</v>
      </c>
      <c r="O67" s="373">
        <f t="shared" si="58"/>
        <v>0</v>
      </c>
      <c r="P67" s="373">
        <f t="shared" si="58"/>
        <v>0</v>
      </c>
      <c r="Q67" s="182"/>
      <c r="R67" s="182"/>
      <c r="S67" s="182"/>
      <c r="T67" s="182"/>
      <c r="U67" s="182"/>
      <c r="V67" s="182"/>
      <c r="W67" s="182"/>
      <c r="X67" s="182"/>
      <c r="Y67" s="182"/>
      <c r="Z67" s="182"/>
    </row>
    <row r="68" spans="1:26" ht="12.75" customHeight="1">
      <c r="A68" s="374" t="s">
        <v>210</v>
      </c>
      <c r="B68" s="184">
        <f>'Page 4-Year 0'!D68</f>
        <v>75000</v>
      </c>
      <c r="C68" s="184">
        <f>'Page 5-Year 1'!E68</f>
        <v>5000</v>
      </c>
      <c r="D68" s="184">
        <f>'Page 6-Year 2'!E68</f>
        <v>100000</v>
      </c>
      <c r="E68" s="184">
        <f>'Page 7-Year 3'!E68</f>
        <v>0</v>
      </c>
      <c r="F68" s="184">
        <f>'Page 8-Year 4'!E68</f>
        <v>50000</v>
      </c>
      <c r="G68" s="184">
        <f>'Page 9-Year 5'!E68</f>
        <v>0</v>
      </c>
      <c r="H68" s="181"/>
      <c r="I68" s="182"/>
      <c r="J68" s="192" t="s">
        <v>210</v>
      </c>
      <c r="K68" s="365">
        <f>'Page 4-Year 0'!L68</f>
        <v>0</v>
      </c>
      <c r="L68" s="373">
        <f t="shared" ref="L68:P68" si="59">C68-B68</f>
        <v>-70000</v>
      </c>
      <c r="M68" s="373">
        <f t="shared" si="59"/>
        <v>95000</v>
      </c>
      <c r="N68" s="373">
        <f t="shared" si="59"/>
        <v>-100000</v>
      </c>
      <c r="O68" s="373">
        <f t="shared" si="59"/>
        <v>50000</v>
      </c>
      <c r="P68" s="373">
        <f t="shared" si="59"/>
        <v>-50000</v>
      </c>
      <c r="Q68" s="182"/>
      <c r="R68" s="182"/>
      <c r="S68" s="182"/>
      <c r="T68" s="182"/>
      <c r="U68" s="182"/>
      <c r="V68" s="182"/>
      <c r="W68" s="182"/>
      <c r="X68" s="182"/>
      <c r="Y68" s="182"/>
      <c r="Z68" s="182"/>
    </row>
    <row r="69" spans="1:26" ht="12.75" customHeight="1">
      <c r="A69" s="372" t="s">
        <v>211</v>
      </c>
      <c r="B69" s="184">
        <f>'Page 4-Year 0'!D69</f>
        <v>30000</v>
      </c>
      <c r="C69" s="184">
        <f>'Page 5-Year 1'!E69</f>
        <v>0</v>
      </c>
      <c r="D69" s="184">
        <f>'Page 6-Year 2'!E69</f>
        <v>20000</v>
      </c>
      <c r="E69" s="184">
        <f>'Page 7-Year 3'!E69</f>
        <v>12000</v>
      </c>
      <c r="F69" s="184">
        <f>'Page 8-Year 4'!E69</f>
        <v>15000</v>
      </c>
      <c r="G69" s="184">
        <f>'Page 9-Year 5'!E69</f>
        <v>4416.3232128</v>
      </c>
      <c r="H69" s="181"/>
      <c r="I69" s="182"/>
      <c r="J69" s="191" t="s">
        <v>211</v>
      </c>
      <c r="K69" s="365">
        <f>'Page 4-Year 0'!L69</f>
        <v>0</v>
      </c>
      <c r="L69" s="373">
        <f t="shared" ref="L69:P69" si="60">C69-B69</f>
        <v>-30000</v>
      </c>
      <c r="M69" s="373">
        <f t="shared" si="60"/>
        <v>20000</v>
      </c>
      <c r="N69" s="373">
        <f t="shared" si="60"/>
        <v>-8000</v>
      </c>
      <c r="O69" s="373">
        <f t="shared" si="60"/>
        <v>3000</v>
      </c>
      <c r="P69" s="373">
        <f t="shared" si="60"/>
        <v>-10583.6767872</v>
      </c>
      <c r="Q69" s="182"/>
      <c r="R69" s="182"/>
      <c r="S69" s="182"/>
      <c r="T69" s="182"/>
      <c r="U69" s="182"/>
      <c r="V69" s="182"/>
      <c r="W69" s="182"/>
      <c r="X69" s="182"/>
      <c r="Y69" s="182"/>
      <c r="Z69" s="182"/>
    </row>
    <row r="70" spans="1:26" ht="12.75" customHeight="1">
      <c r="A70" s="372" t="s">
        <v>212</v>
      </c>
      <c r="B70" s="184">
        <f>'Page 4-Year 0'!D70</f>
        <v>0</v>
      </c>
      <c r="C70" s="184">
        <f>'Page 5-Year 1'!E70</f>
        <v>0</v>
      </c>
      <c r="D70" s="184">
        <f>'Page 6-Year 2'!E70</f>
        <v>0</v>
      </c>
      <c r="E70" s="184">
        <f>'Page 7-Year 3'!E70</f>
        <v>0</v>
      </c>
      <c r="F70" s="184">
        <f>'Page 8-Year 4'!E70</f>
        <v>0</v>
      </c>
      <c r="G70" s="184">
        <f>'Page 9-Year 5'!E70</f>
        <v>0</v>
      </c>
      <c r="H70" s="181"/>
      <c r="I70" s="182"/>
      <c r="J70" s="191" t="s">
        <v>212</v>
      </c>
      <c r="K70" s="365">
        <f>'Page 4-Year 0'!L70</f>
        <v>0</v>
      </c>
      <c r="L70" s="373">
        <f t="shared" ref="L70:P70" si="61">C70-B70</f>
        <v>0</v>
      </c>
      <c r="M70" s="373">
        <f t="shared" si="61"/>
        <v>0</v>
      </c>
      <c r="N70" s="373">
        <f t="shared" si="61"/>
        <v>0</v>
      </c>
      <c r="O70" s="373">
        <f t="shared" si="61"/>
        <v>0</v>
      </c>
      <c r="P70" s="373">
        <f t="shared" si="61"/>
        <v>0</v>
      </c>
      <c r="Q70" s="182"/>
      <c r="R70" s="182"/>
      <c r="S70" s="182"/>
      <c r="T70" s="182"/>
      <c r="U70" s="182"/>
      <c r="V70" s="182"/>
      <c r="W70" s="182"/>
      <c r="X70" s="182"/>
      <c r="Y70" s="182"/>
      <c r="Z70" s="182"/>
    </row>
    <row r="71" spans="1:26" ht="12.75" customHeight="1">
      <c r="A71" s="372" t="s">
        <v>213</v>
      </c>
      <c r="B71" s="184">
        <f>'Page 4-Year 0'!D71</f>
        <v>1500</v>
      </c>
      <c r="C71" s="184">
        <f>'Page 5-Year 1'!E71</f>
        <v>2000</v>
      </c>
      <c r="D71" s="184">
        <f>'Page 6-Year 2'!E71</f>
        <v>2000</v>
      </c>
      <c r="E71" s="184">
        <f>'Page 7-Year 3'!E71</f>
        <v>2200</v>
      </c>
      <c r="F71" s="184">
        <f>'Page 8-Year 4'!E71</f>
        <v>2200</v>
      </c>
      <c r="G71" s="184">
        <f>'Page 9-Year 5'!E71</f>
        <v>2200</v>
      </c>
      <c r="H71" s="181"/>
      <c r="I71" s="182"/>
      <c r="J71" s="191" t="s">
        <v>213</v>
      </c>
      <c r="K71" s="365">
        <f>'Page 4-Year 0'!L71</f>
        <v>0</v>
      </c>
      <c r="L71" s="373">
        <f t="shared" ref="L71:P71" si="62">C71-B71</f>
        <v>500</v>
      </c>
      <c r="M71" s="373">
        <f t="shared" si="62"/>
        <v>0</v>
      </c>
      <c r="N71" s="373">
        <f t="shared" si="62"/>
        <v>200</v>
      </c>
      <c r="O71" s="373">
        <f t="shared" si="62"/>
        <v>0</v>
      </c>
      <c r="P71" s="373">
        <f t="shared" si="62"/>
        <v>0</v>
      </c>
      <c r="Q71" s="182"/>
      <c r="R71" s="182"/>
      <c r="S71" s="182"/>
      <c r="T71" s="182"/>
      <c r="U71" s="182"/>
      <c r="V71" s="182"/>
      <c r="W71" s="182"/>
      <c r="X71" s="182"/>
      <c r="Y71" s="182"/>
      <c r="Z71" s="182"/>
    </row>
    <row r="72" spans="1:26" ht="12.75" customHeight="1">
      <c r="A72" s="372" t="s">
        <v>214</v>
      </c>
      <c r="B72" s="184">
        <f>'Page 4-Year 0'!D72</f>
        <v>0</v>
      </c>
      <c r="C72" s="184">
        <f>'Page 5-Year 1'!E72</f>
        <v>5000</v>
      </c>
      <c r="D72" s="184">
        <f>'Page 6-Year 2'!E72</f>
        <v>10000</v>
      </c>
      <c r="E72" s="184">
        <f>'Page 7-Year 3'!E72</f>
        <v>10000</v>
      </c>
      <c r="F72" s="184">
        <f>'Page 8-Year 4'!E72</f>
        <v>5000</v>
      </c>
      <c r="G72" s="184">
        <f>'Page 9-Year 5'!E72</f>
        <v>5000</v>
      </c>
      <c r="H72" s="181"/>
      <c r="I72" s="182"/>
      <c r="J72" s="191" t="s">
        <v>214</v>
      </c>
      <c r="K72" s="365">
        <f>'Page 4-Year 0'!L72</f>
        <v>0</v>
      </c>
      <c r="L72" s="373">
        <f t="shared" ref="L72:P72" si="63">C72-B72</f>
        <v>5000</v>
      </c>
      <c r="M72" s="373">
        <f t="shared" si="63"/>
        <v>5000</v>
      </c>
      <c r="N72" s="373">
        <f t="shared" si="63"/>
        <v>0</v>
      </c>
      <c r="O72" s="373">
        <f t="shared" si="63"/>
        <v>-5000</v>
      </c>
      <c r="P72" s="373">
        <f t="shared" si="63"/>
        <v>0</v>
      </c>
      <c r="Q72" s="182"/>
      <c r="R72" s="182"/>
      <c r="S72" s="182"/>
      <c r="T72" s="182"/>
      <c r="U72" s="182"/>
      <c r="V72" s="182"/>
      <c r="W72" s="182"/>
      <c r="X72" s="182"/>
      <c r="Y72" s="182"/>
      <c r="Z72" s="182"/>
    </row>
    <row r="73" spans="1:26" ht="12.75" customHeight="1">
      <c r="A73" s="372" t="s">
        <v>215</v>
      </c>
      <c r="B73" s="184">
        <f>'Page 4-Year 0'!D73</f>
        <v>0</v>
      </c>
      <c r="C73" s="184">
        <f>'Page 5-Year 1'!E73</f>
        <v>0</v>
      </c>
      <c r="D73" s="184">
        <f>'Page 6-Year 2'!E73</f>
        <v>0</v>
      </c>
      <c r="E73" s="184">
        <f>'Page 7-Year 3'!E73</f>
        <v>0</v>
      </c>
      <c r="F73" s="184">
        <f>'Page 8-Year 4'!E73</f>
        <v>0</v>
      </c>
      <c r="G73" s="184">
        <f>'Page 9-Year 5'!E73</f>
        <v>0</v>
      </c>
      <c r="H73" s="181"/>
      <c r="I73" s="182"/>
      <c r="J73" s="191" t="s">
        <v>215</v>
      </c>
      <c r="K73" s="365">
        <f>'Page 4-Year 0'!L73</f>
        <v>0</v>
      </c>
      <c r="L73" s="373">
        <f t="shared" ref="L73:P73" si="64">C73-B73</f>
        <v>0</v>
      </c>
      <c r="M73" s="373">
        <f t="shared" si="64"/>
        <v>0</v>
      </c>
      <c r="N73" s="373">
        <f t="shared" si="64"/>
        <v>0</v>
      </c>
      <c r="O73" s="373">
        <f t="shared" si="64"/>
        <v>0</v>
      </c>
      <c r="P73" s="373">
        <f t="shared" si="64"/>
        <v>0</v>
      </c>
      <c r="Q73" s="182"/>
      <c r="R73" s="182"/>
      <c r="S73" s="182"/>
      <c r="T73" s="182"/>
      <c r="U73" s="182"/>
      <c r="V73" s="182"/>
      <c r="W73" s="182"/>
      <c r="X73" s="182"/>
      <c r="Y73" s="182"/>
      <c r="Z73" s="182"/>
    </row>
    <row r="74" spans="1:26" ht="12.75" customHeight="1">
      <c r="A74" s="372" t="s">
        <v>234</v>
      </c>
      <c r="B74" s="184">
        <f>'Page 4-Year 0'!D74</f>
        <v>0</v>
      </c>
      <c r="C74" s="184">
        <f>'Page 5-Year 1'!E74</f>
        <v>9608</v>
      </c>
      <c r="D74" s="184">
        <f>'Page 6-Year 2'!E74</f>
        <v>28407.529471599995</v>
      </c>
      <c r="E74" s="184">
        <f>'Page 7-Year 3'!E74</f>
        <v>58514.903413277985</v>
      </c>
      <c r="F74" s="184">
        <f>'Page 8-Year 4'!E74</f>
        <v>91977.436852977058</v>
      </c>
      <c r="G74" s="184">
        <f>'Page 9-Year 5'!E74</f>
        <v>105891.00959791515</v>
      </c>
      <c r="H74" s="181"/>
      <c r="I74" s="182"/>
      <c r="J74" s="191" t="s">
        <v>234</v>
      </c>
      <c r="K74" s="365">
        <f>'Page 4-Year 0'!L74</f>
        <v>0</v>
      </c>
      <c r="L74" s="373">
        <f t="shared" ref="L74:P74" si="65">C74-B74</f>
        <v>9608</v>
      </c>
      <c r="M74" s="373">
        <f t="shared" si="65"/>
        <v>18799.529471599995</v>
      </c>
      <c r="N74" s="373">
        <f t="shared" si="65"/>
        <v>30107.37394167799</v>
      </c>
      <c r="O74" s="373">
        <f t="shared" si="65"/>
        <v>33462.533439699073</v>
      </c>
      <c r="P74" s="373">
        <f t="shared" si="65"/>
        <v>13913.572744938094</v>
      </c>
      <c r="Q74" s="182"/>
      <c r="R74" s="182"/>
      <c r="S74" s="182"/>
      <c r="T74" s="182"/>
      <c r="U74" s="182"/>
      <c r="V74" s="182"/>
      <c r="W74" s="182"/>
      <c r="X74" s="182"/>
      <c r="Y74" s="182"/>
      <c r="Z74" s="182"/>
    </row>
    <row r="75" spans="1:26" ht="12.75" customHeight="1">
      <c r="A75" s="375" t="s">
        <v>235</v>
      </c>
      <c r="B75" s="193"/>
      <c r="C75" s="193">
        <f>'Page 5-Year 1'!E75</f>
        <v>6600</v>
      </c>
      <c r="D75" s="193">
        <f>'Page 6-Year 2'!E75</f>
        <v>6600</v>
      </c>
      <c r="E75" s="193">
        <f>'Page 7-Year 3'!E75</f>
        <v>9900</v>
      </c>
      <c r="F75" s="193">
        <f>'Page 8-Year 4'!E75</f>
        <v>6600</v>
      </c>
      <c r="G75" s="193">
        <f>'Page 9-Year 5'!E75</f>
        <v>7426</v>
      </c>
      <c r="H75" s="181"/>
      <c r="I75" s="182"/>
      <c r="J75" s="191" t="s">
        <v>235</v>
      </c>
      <c r="K75" s="365"/>
      <c r="L75" s="373">
        <f t="shared" ref="L75:P75" si="66">C75-B75</f>
        <v>6600</v>
      </c>
      <c r="M75" s="373">
        <f t="shared" si="66"/>
        <v>0</v>
      </c>
      <c r="N75" s="373">
        <f t="shared" si="66"/>
        <v>3300</v>
      </c>
      <c r="O75" s="373">
        <f t="shared" si="66"/>
        <v>-3300</v>
      </c>
      <c r="P75" s="373">
        <f t="shared" si="66"/>
        <v>826</v>
      </c>
      <c r="Q75" s="182"/>
      <c r="R75" s="182"/>
      <c r="S75" s="182"/>
      <c r="T75" s="182"/>
      <c r="U75" s="182"/>
      <c r="V75" s="182"/>
      <c r="W75" s="182"/>
      <c r="X75" s="182"/>
      <c r="Y75" s="182"/>
      <c r="Z75" s="182"/>
    </row>
    <row r="76" spans="1:26" ht="12.75" customHeight="1">
      <c r="A76" s="375" t="s">
        <v>236</v>
      </c>
      <c r="B76" s="193">
        <f>'Page 4-Year 0'!D76</f>
        <v>0</v>
      </c>
      <c r="C76" s="193">
        <f>'Page 5-Year 1'!E76</f>
        <v>0</v>
      </c>
      <c r="D76" s="193">
        <f>'Page 6-Year 2'!E76</f>
        <v>0</v>
      </c>
      <c r="E76" s="193">
        <f>'Page 7-Year 3'!E76</f>
        <v>33000</v>
      </c>
      <c r="F76" s="193">
        <f>'Page 8-Year 4'!E76</f>
        <v>49500</v>
      </c>
      <c r="G76" s="193">
        <f>'Page 9-Year 5'!E76</f>
        <v>77000</v>
      </c>
      <c r="H76" s="181"/>
      <c r="I76" s="182"/>
      <c r="J76" s="191" t="s">
        <v>236</v>
      </c>
      <c r="K76" s="365">
        <f>'Page 4-Year 0'!L76</f>
        <v>0</v>
      </c>
      <c r="L76" s="373">
        <f t="shared" ref="L76:P76" si="67">C76-B76</f>
        <v>0</v>
      </c>
      <c r="M76" s="373">
        <f t="shared" si="67"/>
        <v>0</v>
      </c>
      <c r="N76" s="373">
        <f t="shared" si="67"/>
        <v>33000</v>
      </c>
      <c r="O76" s="373">
        <f t="shared" si="67"/>
        <v>16500</v>
      </c>
      <c r="P76" s="373">
        <f t="shared" si="67"/>
        <v>27500</v>
      </c>
      <c r="Q76" s="182"/>
      <c r="R76" s="182"/>
      <c r="S76" s="182"/>
      <c r="T76" s="182"/>
      <c r="U76" s="182"/>
      <c r="V76" s="182"/>
      <c r="W76" s="182"/>
      <c r="X76" s="182"/>
      <c r="Y76" s="182"/>
      <c r="Z76" s="182"/>
    </row>
    <row r="77" spans="1:26" ht="12.75" customHeight="1">
      <c r="A77" s="187" t="s">
        <v>217</v>
      </c>
      <c r="B77" s="194">
        <f t="shared" ref="B77:G77" si="68">SUM(B33:B76)</f>
        <v>284888.625</v>
      </c>
      <c r="C77" s="194">
        <f t="shared" si="68"/>
        <v>965776.18119999976</v>
      </c>
      <c r="D77" s="194">
        <f t="shared" si="68"/>
        <v>1368133.0943795999</v>
      </c>
      <c r="E77" s="194">
        <f t="shared" si="68"/>
        <v>1938271.9436270781</v>
      </c>
      <c r="F77" s="194">
        <f t="shared" si="68"/>
        <v>2301492.7528896523</v>
      </c>
      <c r="G77" s="194">
        <f t="shared" si="68"/>
        <v>2700851.4119062293</v>
      </c>
      <c r="H77" s="181"/>
      <c r="I77" s="182"/>
      <c r="J77" s="187" t="s">
        <v>217</v>
      </c>
      <c r="K77" s="194">
        <f t="shared" ref="K77:P77" si="69">SUM(K33:K76)</f>
        <v>0</v>
      </c>
      <c r="L77" s="194">
        <f t="shared" si="69"/>
        <v>680887.55619999976</v>
      </c>
      <c r="M77" s="194">
        <f t="shared" si="69"/>
        <v>402356.91317960003</v>
      </c>
      <c r="N77" s="194">
        <f t="shared" si="69"/>
        <v>570138.84924747807</v>
      </c>
      <c r="O77" s="194">
        <f t="shared" si="69"/>
        <v>363220.80926257413</v>
      </c>
      <c r="P77" s="194">
        <f t="shared" si="69"/>
        <v>399358.65901657735</v>
      </c>
      <c r="Q77" s="182"/>
      <c r="R77" s="182"/>
      <c r="S77" s="182"/>
      <c r="T77" s="182"/>
      <c r="U77" s="182"/>
      <c r="V77" s="182"/>
      <c r="W77" s="182"/>
      <c r="X77" s="182"/>
      <c r="Y77" s="182"/>
      <c r="Z77" s="182"/>
    </row>
    <row r="78" spans="1:26" ht="6.75" customHeight="1">
      <c r="A78" s="195"/>
      <c r="B78" s="365"/>
      <c r="C78" s="365"/>
      <c r="D78" s="365"/>
      <c r="E78" s="365"/>
      <c r="F78" s="365"/>
      <c r="G78" s="365"/>
      <c r="H78" s="181"/>
      <c r="I78" s="182"/>
      <c r="J78" s="195"/>
      <c r="K78" s="365"/>
      <c r="L78" s="365"/>
      <c r="M78" s="365"/>
      <c r="N78" s="365"/>
      <c r="O78" s="365"/>
      <c r="P78" s="365"/>
      <c r="Q78" s="182"/>
      <c r="R78" s="182"/>
      <c r="S78" s="182"/>
      <c r="T78" s="182"/>
      <c r="U78" s="182"/>
      <c r="V78" s="182"/>
      <c r="W78" s="182"/>
      <c r="X78" s="182"/>
      <c r="Y78" s="182"/>
      <c r="Z78" s="182"/>
    </row>
    <row r="79" spans="1:26" ht="13.5" customHeight="1">
      <c r="A79" s="196" t="s">
        <v>218</v>
      </c>
      <c r="B79" s="373">
        <f t="shared" ref="B79:G79" si="70">B30-B77</f>
        <v>10111.375</v>
      </c>
      <c r="C79" s="373">
        <f t="shared" si="70"/>
        <v>39103.322800000082</v>
      </c>
      <c r="D79" s="373">
        <f t="shared" si="70"/>
        <v>83698.539200399769</v>
      </c>
      <c r="E79" s="373">
        <f t="shared" si="70"/>
        <v>53566.948815521551</v>
      </c>
      <c r="F79" s="373">
        <f t="shared" si="70"/>
        <v>46802.640434774105</v>
      </c>
      <c r="G79" s="373">
        <f t="shared" si="70"/>
        <v>6344.3080416494049</v>
      </c>
      <c r="H79" s="181"/>
      <c r="I79" s="182"/>
      <c r="J79" s="196" t="s">
        <v>218</v>
      </c>
      <c r="K79" s="373">
        <f t="shared" ref="K79:P79" si="71">K30-K77</f>
        <v>0</v>
      </c>
      <c r="L79" s="373">
        <f t="shared" si="71"/>
        <v>28991.947800000082</v>
      </c>
      <c r="M79" s="373">
        <f t="shared" si="71"/>
        <v>44595.216400399804</v>
      </c>
      <c r="N79" s="373">
        <f t="shared" si="71"/>
        <v>-30131.590384878218</v>
      </c>
      <c r="O79" s="373">
        <f t="shared" si="71"/>
        <v>-6764.3083807472722</v>
      </c>
      <c r="P79" s="373">
        <f t="shared" si="71"/>
        <v>-40458.332393125107</v>
      </c>
      <c r="Q79" s="182"/>
      <c r="R79" s="182"/>
      <c r="S79" s="182"/>
      <c r="T79" s="182"/>
      <c r="U79" s="182"/>
      <c r="V79" s="182"/>
      <c r="W79" s="182"/>
      <c r="X79" s="182"/>
      <c r="Y79" s="182"/>
      <c r="Z79" s="182"/>
    </row>
    <row r="80" spans="1:26" ht="6.75" customHeight="1">
      <c r="A80" s="195"/>
      <c r="B80" s="365"/>
      <c r="C80" s="365"/>
      <c r="D80" s="365"/>
      <c r="E80" s="365"/>
      <c r="F80" s="365"/>
      <c r="G80" s="365"/>
      <c r="H80" s="181"/>
      <c r="I80" s="182"/>
      <c r="J80" s="195"/>
      <c r="K80" s="365"/>
      <c r="L80" s="365"/>
      <c r="M80" s="365"/>
      <c r="N80" s="365"/>
      <c r="O80" s="365"/>
      <c r="P80" s="365"/>
      <c r="Q80" s="182"/>
      <c r="R80" s="182"/>
      <c r="S80" s="182"/>
      <c r="T80" s="182"/>
      <c r="U80" s="182"/>
      <c r="V80" s="182"/>
      <c r="W80" s="182"/>
      <c r="X80" s="182"/>
      <c r="Y80" s="182"/>
      <c r="Z80" s="182"/>
    </row>
    <row r="81" spans="1:26" ht="13.5" customHeight="1">
      <c r="A81" s="196" t="s">
        <v>219</v>
      </c>
      <c r="B81" s="365">
        <f>'Page 4-Year 0'!D79</f>
        <v>0</v>
      </c>
      <c r="C81" s="365">
        <f>'Page 5-Year 1'!E81</f>
        <v>0</v>
      </c>
      <c r="D81" s="365">
        <f>'Page 6-Year 2'!E81</f>
        <v>0</v>
      </c>
      <c r="E81" s="189">
        <f>'Page 7-Year 3'!E81</f>
        <v>0</v>
      </c>
      <c r="F81" s="189">
        <f>'Page 8-Year 4'!E81</f>
        <v>0</v>
      </c>
      <c r="G81" s="365">
        <f>'Page 9-Year 5'!E81</f>
        <v>0</v>
      </c>
      <c r="H81" s="181"/>
      <c r="I81" s="182"/>
      <c r="J81" s="196" t="s">
        <v>219</v>
      </c>
      <c r="K81" s="365">
        <f>'Page 4-Year 0'!L79</f>
        <v>0</v>
      </c>
      <c r="L81" s="365">
        <f>'Page 5-Year 1'!M81</f>
        <v>0</v>
      </c>
      <c r="M81" s="365">
        <f>'Page 6-Year 2'!M81</f>
        <v>0</v>
      </c>
      <c r="N81" s="189">
        <f>'Page 7-Year 3'!M81</f>
        <v>0</v>
      </c>
      <c r="O81" s="189">
        <f>'Page 8-Year 4'!M81</f>
        <v>0</v>
      </c>
      <c r="P81" s="365">
        <f>'Page 9-Year 5'!M81</f>
        <v>0</v>
      </c>
      <c r="Q81" s="182"/>
      <c r="R81" s="182"/>
      <c r="S81" s="182"/>
      <c r="T81" s="182"/>
      <c r="U81" s="182"/>
      <c r="V81" s="182"/>
      <c r="W81" s="182"/>
      <c r="X81" s="182"/>
      <c r="Y81" s="182"/>
      <c r="Z81" s="182"/>
    </row>
    <row r="82" spans="1:26" ht="13.5" customHeight="1">
      <c r="A82" s="192"/>
      <c r="B82" s="365"/>
      <c r="C82" s="365"/>
      <c r="D82" s="365"/>
      <c r="E82" s="189"/>
      <c r="F82" s="189"/>
      <c r="G82" s="365"/>
      <c r="H82" s="181"/>
      <c r="I82" s="182"/>
      <c r="J82" s="192"/>
      <c r="K82" s="365"/>
      <c r="L82" s="365"/>
      <c r="M82" s="365"/>
      <c r="N82" s="189"/>
      <c r="O82" s="189"/>
      <c r="P82" s="365"/>
      <c r="Q82" s="182"/>
      <c r="R82" s="182"/>
      <c r="S82" s="182"/>
      <c r="T82" s="182"/>
      <c r="U82" s="182"/>
      <c r="V82" s="182"/>
      <c r="W82" s="182"/>
      <c r="X82" s="182"/>
      <c r="Y82" s="182"/>
      <c r="Z82" s="182"/>
    </row>
    <row r="83" spans="1:26" ht="13.5" hidden="1" customHeight="1">
      <c r="A83" s="192"/>
      <c r="B83" s="186"/>
      <c r="C83" s="186"/>
      <c r="D83" s="186"/>
      <c r="E83" s="186"/>
      <c r="F83" s="186"/>
      <c r="G83" s="186"/>
      <c r="H83" s="181"/>
      <c r="I83" s="182"/>
      <c r="J83" s="192"/>
      <c r="K83" s="186"/>
      <c r="L83" s="186"/>
      <c r="M83" s="186"/>
      <c r="N83" s="186"/>
      <c r="O83" s="186"/>
      <c r="P83" s="186"/>
      <c r="Q83" s="182"/>
      <c r="R83" s="182"/>
      <c r="S83" s="182"/>
      <c r="T83" s="182"/>
      <c r="U83" s="182"/>
      <c r="V83" s="182"/>
      <c r="W83" s="182"/>
      <c r="X83" s="182"/>
      <c r="Y83" s="182"/>
      <c r="Z83" s="182"/>
    </row>
    <row r="84" spans="1:26" ht="6" customHeight="1">
      <c r="A84" s="195"/>
      <c r="B84" s="365"/>
      <c r="C84" s="365"/>
      <c r="D84" s="365"/>
      <c r="E84" s="365"/>
      <c r="F84" s="365"/>
      <c r="G84" s="365"/>
      <c r="H84" s="181"/>
      <c r="I84" s="182"/>
      <c r="J84" s="195"/>
      <c r="K84" s="365"/>
      <c r="L84" s="365"/>
      <c r="M84" s="365"/>
      <c r="N84" s="365"/>
      <c r="O84" s="365"/>
      <c r="P84" s="365"/>
      <c r="Q84" s="182"/>
      <c r="R84" s="182"/>
      <c r="S84" s="182"/>
      <c r="T84" s="182"/>
      <c r="U84" s="182"/>
      <c r="V84" s="182"/>
      <c r="W84" s="182"/>
      <c r="X84" s="182"/>
      <c r="Y84" s="182"/>
      <c r="Z84" s="182"/>
    </row>
    <row r="85" spans="1:26" ht="12.75" customHeight="1">
      <c r="A85" s="197" t="s">
        <v>220</v>
      </c>
      <c r="B85" s="198">
        <f>B79-B83</f>
        <v>10111.375</v>
      </c>
      <c r="C85" s="198">
        <f t="shared" ref="C85:G85" si="72">SUM(C79:C83)</f>
        <v>39103.322800000082</v>
      </c>
      <c r="D85" s="198">
        <f t="shared" si="72"/>
        <v>83698.539200399769</v>
      </c>
      <c r="E85" s="198">
        <f t="shared" si="72"/>
        <v>53566.948815521551</v>
      </c>
      <c r="F85" s="198">
        <f t="shared" si="72"/>
        <v>46802.640434774105</v>
      </c>
      <c r="G85" s="198">
        <f t="shared" si="72"/>
        <v>6344.3080416494049</v>
      </c>
      <c r="H85" s="181"/>
      <c r="I85" s="182"/>
      <c r="J85" s="187" t="s">
        <v>220</v>
      </c>
      <c r="K85" s="199">
        <f>K79-K83</f>
        <v>0</v>
      </c>
      <c r="L85" s="199">
        <f t="shared" ref="L85:P85" si="73">SUM(L79:L83)</f>
        <v>28991.947800000082</v>
      </c>
      <c r="M85" s="199">
        <f t="shared" si="73"/>
        <v>44595.216400399804</v>
      </c>
      <c r="N85" s="199">
        <f t="shared" si="73"/>
        <v>-30131.590384878218</v>
      </c>
      <c r="O85" s="199">
        <f t="shared" si="73"/>
        <v>-6764.3083807472722</v>
      </c>
      <c r="P85" s="199">
        <f t="shared" si="73"/>
        <v>-40458.332393125107</v>
      </c>
      <c r="Q85" s="182"/>
      <c r="R85" s="182"/>
      <c r="S85" s="182"/>
      <c r="T85" s="182"/>
      <c r="U85" s="182"/>
      <c r="V85" s="182"/>
      <c r="W85" s="182"/>
      <c r="X85" s="182"/>
      <c r="Y85" s="182"/>
      <c r="Z85" s="182"/>
    </row>
    <row r="86" spans="1:26" ht="12.75" customHeight="1">
      <c r="A86" s="200"/>
      <c r="B86" s="258"/>
      <c r="C86" s="376"/>
      <c r="D86" s="258"/>
      <c r="E86" s="258"/>
      <c r="F86" s="258"/>
      <c r="G86" s="258"/>
      <c r="H86" s="171"/>
      <c r="I86" s="4"/>
      <c r="J86" s="200"/>
      <c r="K86" s="258"/>
      <c r="L86" s="376"/>
      <c r="M86" s="258"/>
      <c r="N86" s="258"/>
      <c r="O86" s="258"/>
      <c r="P86" s="258"/>
      <c r="Q86" s="4"/>
      <c r="R86" s="4"/>
      <c r="S86" s="4"/>
      <c r="T86" s="4"/>
      <c r="U86" s="4"/>
      <c r="V86" s="4"/>
      <c r="W86" s="4"/>
      <c r="X86" s="4"/>
      <c r="Y86" s="4"/>
      <c r="Z86" s="4"/>
    </row>
    <row r="87" spans="1:26" ht="12.75" customHeight="1">
      <c r="A87" s="195" t="s">
        <v>221</v>
      </c>
      <c r="B87" s="377">
        <f>'Page 4-Year 0'!D84</f>
        <v>0</v>
      </c>
      <c r="C87" s="377">
        <f>'Page 5-Year 1'!E86</f>
        <v>10111.375</v>
      </c>
      <c r="D87" s="377">
        <f>'Page 6-Year 2'!E86</f>
        <v>39247.667720000143</v>
      </c>
      <c r="E87" s="377">
        <f>'Page 7-Year 3'!E86</f>
        <v>122946.20692039991</v>
      </c>
      <c r="F87" s="377">
        <f>'Page 8-Year 4'!E86</f>
        <v>176513.15573592146</v>
      </c>
      <c r="G87" s="377">
        <f>'Page 9-Year 5'!E86</f>
        <v>223315.79617069557</v>
      </c>
      <c r="H87" s="181"/>
      <c r="I87" s="182"/>
      <c r="J87" s="195" t="s">
        <v>221</v>
      </c>
      <c r="K87" s="377">
        <f>'Page 4-Year 0'!L84</f>
        <v>0</v>
      </c>
      <c r="L87" s="377">
        <f>'Page 5-Year 1'!M86</f>
        <v>0</v>
      </c>
      <c r="M87" s="377">
        <f>'Page 6-Year 2'!M86</f>
        <v>0</v>
      </c>
      <c r="N87" s="377">
        <f>'Page 7-Year 3'!M86</f>
        <v>0</v>
      </c>
      <c r="O87" s="377">
        <f>'Page 8-Year 4'!M86</f>
        <v>0</v>
      </c>
      <c r="P87" s="377">
        <f>'Page 9-Year 5'!M86</f>
        <v>0</v>
      </c>
      <c r="Q87" s="182"/>
      <c r="R87" s="182"/>
      <c r="S87" s="182"/>
      <c r="T87" s="182"/>
      <c r="U87" s="182"/>
      <c r="V87" s="182"/>
      <c r="W87" s="182"/>
      <c r="X87" s="182"/>
      <c r="Y87" s="182"/>
      <c r="Z87" s="182"/>
    </row>
    <row r="88" spans="1:26" ht="3" customHeight="1">
      <c r="A88" s="195"/>
      <c r="B88" s="378"/>
      <c r="C88" s="378"/>
      <c r="D88" s="377"/>
      <c r="E88" s="378"/>
      <c r="F88" s="378"/>
      <c r="G88" s="378"/>
      <c r="H88" s="181"/>
      <c r="I88" s="182"/>
      <c r="J88" s="195"/>
      <c r="K88" s="378"/>
      <c r="L88" s="378"/>
      <c r="M88" s="377"/>
      <c r="N88" s="378"/>
      <c r="O88" s="378"/>
      <c r="P88" s="378"/>
      <c r="Q88" s="182"/>
      <c r="R88" s="182"/>
      <c r="S88" s="182"/>
      <c r="T88" s="182"/>
      <c r="U88" s="182"/>
      <c r="V88" s="182"/>
      <c r="W88" s="182"/>
      <c r="X88" s="182"/>
      <c r="Y88" s="182"/>
      <c r="Z88" s="182"/>
    </row>
    <row r="89" spans="1:26" ht="12.75" customHeight="1">
      <c r="A89" s="195" t="s">
        <v>222</v>
      </c>
      <c r="B89" s="377">
        <f>'Page 4-Year 0'!D86</f>
        <v>10111.375</v>
      </c>
      <c r="C89" s="377">
        <f>'Page 5-Year 1'!E87</f>
        <v>39247.667720000143</v>
      </c>
      <c r="D89" s="377">
        <f>'Page 6-Year 2'!E87</f>
        <v>122946.20692039991</v>
      </c>
      <c r="E89" s="377">
        <f>'Page 7-Year 3'!E87</f>
        <v>176513.15573592146</v>
      </c>
      <c r="F89" s="377">
        <f>'Page 8-Year 4'!E87</f>
        <v>223315.79617069557</v>
      </c>
      <c r="G89" s="377">
        <f>'Page 9-Year 5'!E87</f>
        <v>229660.10421234497</v>
      </c>
      <c r="H89" s="181"/>
      <c r="I89" s="182"/>
      <c r="J89" s="195" t="s">
        <v>222</v>
      </c>
      <c r="K89" s="377">
        <f>'Page 4-Year 0'!L86</f>
        <v>0</v>
      </c>
      <c r="L89" s="377">
        <f>'Page 5-Year 1'!M87</f>
        <v>0</v>
      </c>
      <c r="M89" s="377">
        <f>'Page 6-Year 2'!M87</f>
        <v>0</v>
      </c>
      <c r="N89" s="377">
        <f>'Page 7-Year 3'!M87</f>
        <v>0</v>
      </c>
      <c r="O89" s="377">
        <f>'Page 8-Year 4'!M87</f>
        <v>0</v>
      </c>
      <c r="P89" s="377">
        <f>'Page 9-Year 5'!M87</f>
        <v>0</v>
      </c>
      <c r="Q89" s="182"/>
      <c r="R89" s="182"/>
      <c r="S89" s="182"/>
      <c r="T89" s="182"/>
      <c r="U89" s="182"/>
      <c r="V89" s="182"/>
      <c r="W89" s="182"/>
      <c r="X89" s="182"/>
      <c r="Y89" s="182"/>
      <c r="Z89" s="182"/>
    </row>
    <row r="90" spans="1:26" ht="20.25" customHeight="1">
      <c r="A90" s="192" t="s">
        <v>223</v>
      </c>
      <c r="B90" s="379">
        <f>'Page 4-Year 0'!D87</f>
        <v>8546.6587500000005</v>
      </c>
      <c r="C90" s="379">
        <f>'Page 5-Year 1'!E88</f>
        <v>35733.456338399992</v>
      </c>
      <c r="D90" s="379">
        <f>'Page 6-Year 2'!E88</f>
        <v>49745.338031387997</v>
      </c>
      <c r="E90" s="379">
        <f>'Page 7-Year 3'!E88</f>
        <v>71352.894948812347</v>
      </c>
      <c r="F90" s="379">
        <f>'Page 8-Year 4'!E88</f>
        <v>83623.998426689563</v>
      </c>
      <c r="G90" s="379">
        <f>'Page 9-Year 5'!E88</f>
        <v>98472.927957186883</v>
      </c>
      <c r="H90" s="181"/>
      <c r="I90" s="182"/>
      <c r="J90" s="192" t="s">
        <v>223</v>
      </c>
      <c r="K90" s="379">
        <f>'Page 4-Year 0'!L87</f>
        <v>0</v>
      </c>
      <c r="L90" s="379">
        <f>'Page 5-Year 1'!M88</f>
        <v>0</v>
      </c>
      <c r="M90" s="379">
        <f>'Page 6-Year 2'!M88</f>
        <v>0</v>
      </c>
      <c r="N90" s="379">
        <f>'Page 7-Year 3'!M88</f>
        <v>0</v>
      </c>
      <c r="O90" s="379">
        <f>'Page 8-Year 4'!M88</f>
        <v>0</v>
      </c>
      <c r="P90" s="379">
        <f>'Page 9-Year 5'!M88</f>
        <v>0</v>
      </c>
      <c r="Q90" s="182"/>
      <c r="R90" s="182"/>
      <c r="S90" s="182"/>
      <c r="T90" s="182"/>
      <c r="U90" s="182"/>
      <c r="V90" s="182"/>
      <c r="W90" s="182"/>
      <c r="X90" s="182"/>
      <c r="Y90" s="182"/>
      <c r="Z90" s="182"/>
    </row>
    <row r="91" spans="1:26" ht="12.75" customHeight="1">
      <c r="A91" s="192" t="s">
        <v>224</v>
      </c>
      <c r="B91" s="379">
        <f>'Page 4-Year 0'!D88</f>
        <v>1564.7162499999995</v>
      </c>
      <c r="C91" s="379">
        <f>'Page 5-Year 1'!E89</f>
        <v>3514.2113816001511</v>
      </c>
      <c r="D91" s="379">
        <f>'Page 6-Year 2'!E89</f>
        <v>73200.868889011908</v>
      </c>
      <c r="E91" s="379">
        <f>'Page 7-Year 3'!E89</f>
        <v>105160.26078710912</v>
      </c>
      <c r="F91" s="379">
        <f>'Page 8-Year 4'!E89</f>
        <v>139691.79774400601</v>
      </c>
      <c r="G91" s="379">
        <f>'Page 9-Year 5'!E89</f>
        <v>131187.17625515809</v>
      </c>
      <c r="H91" s="181"/>
      <c r="I91" s="182"/>
      <c r="J91" s="192" t="s">
        <v>224</v>
      </c>
      <c r="K91" s="379">
        <f>'Page 4-Year 0'!L88</f>
        <v>0</v>
      </c>
      <c r="L91" s="379">
        <f>'Page 5-Year 1'!M89</f>
        <v>0</v>
      </c>
      <c r="M91" s="379">
        <f>'Page 6-Year 2'!M89</f>
        <v>0</v>
      </c>
      <c r="N91" s="379">
        <f>'Page 7-Year 3'!M89</f>
        <v>0</v>
      </c>
      <c r="O91" s="379">
        <f>'Page 8-Year 4'!M89</f>
        <v>0</v>
      </c>
      <c r="P91" s="379">
        <f>'Page 9-Year 5'!M89</f>
        <v>0</v>
      </c>
      <c r="Q91" s="182"/>
      <c r="R91" s="182"/>
      <c r="S91" s="182"/>
      <c r="T91" s="182"/>
      <c r="U91" s="182"/>
      <c r="V91" s="182"/>
      <c r="W91" s="182"/>
      <c r="X91" s="182"/>
      <c r="Y91" s="182"/>
      <c r="Z91" s="182"/>
    </row>
    <row r="92" spans="1:26" ht="12.75" customHeight="1">
      <c r="A92" s="380" t="s">
        <v>225</v>
      </c>
      <c r="B92" s="201">
        <f>'Page 4-Year 0'!D89</f>
        <v>5.4923788199686789E-3</v>
      </c>
      <c r="C92" s="201">
        <f>'Page 5-Year 1'!E90</f>
        <v>3.6637809095755639E-3</v>
      </c>
      <c r="D92" s="201">
        <f>'Page 6-Year 2'!E90</f>
        <v>5.3504201593928928E-2</v>
      </c>
      <c r="E92" s="201">
        <f>'Page 7-Year 3'!E90</f>
        <v>5.4254647358885709E-2</v>
      </c>
      <c r="F92" s="201">
        <f>'Page 8-Year 4'!E90</f>
        <v>6.0696171025789752E-2</v>
      </c>
      <c r="G92" s="201">
        <f>'Page 9-Year 5'!E90</f>
        <v>4.857252630664629E-2</v>
      </c>
      <c r="H92" s="202"/>
      <c r="I92" s="182"/>
      <c r="J92" s="380" t="s">
        <v>225</v>
      </c>
      <c r="K92" s="201">
        <f>'Page 4-Year 0'!L89</f>
        <v>0</v>
      </c>
      <c r="L92" s="201">
        <f>'Page 5-Year 1'!M90</f>
        <v>0</v>
      </c>
      <c r="M92" s="201">
        <f>'Page 6-Year 2'!M90</f>
        <v>0</v>
      </c>
      <c r="N92" s="201">
        <f>'Page 7-Year 3'!M90</f>
        <v>0</v>
      </c>
      <c r="O92" s="201">
        <f>'Page 8-Year 4'!M90</f>
        <v>0</v>
      </c>
      <c r="P92" s="201">
        <f>'Page 9-Year 5'!M90</f>
        <v>0</v>
      </c>
      <c r="Q92" s="182"/>
      <c r="R92" s="182"/>
      <c r="S92" s="182"/>
      <c r="T92" s="182"/>
      <c r="U92" s="182"/>
      <c r="V92" s="182"/>
      <c r="W92" s="182"/>
      <c r="X92" s="182"/>
      <c r="Y92" s="182"/>
      <c r="Z92" s="182"/>
    </row>
    <row r="93" spans="1:26" ht="12.75" customHeight="1">
      <c r="A93" s="182"/>
      <c r="B93" s="182"/>
      <c r="C93" s="182"/>
      <c r="D93" s="182"/>
      <c r="E93" s="182"/>
      <c r="F93" s="182"/>
      <c r="G93" s="182"/>
      <c r="H93" s="182"/>
      <c r="I93" s="182"/>
      <c r="J93" s="182"/>
      <c r="K93" s="182"/>
      <c r="L93" s="182"/>
      <c r="M93" s="182"/>
      <c r="N93" s="182"/>
      <c r="O93" s="182"/>
      <c r="P93" s="182"/>
      <c r="Q93" s="182"/>
      <c r="R93" s="182"/>
      <c r="S93" s="182"/>
      <c r="T93" s="182"/>
      <c r="U93" s="182"/>
      <c r="V93" s="182"/>
      <c r="W93" s="182"/>
      <c r="X93" s="182"/>
      <c r="Y93" s="182"/>
      <c r="Z93" s="182"/>
    </row>
    <row r="94" spans="1:26" ht="12.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2.75" customHeight="1">
      <c r="A95" s="203" t="s">
        <v>248</v>
      </c>
      <c r="B95" s="204"/>
      <c r="C95" s="204">
        <f>('Page 2-Staffing Plan'!C44)+((C35+C36+C37+C38+C39+C40+C55+C56)*C102)+(C34+C43+C63+C66+C67+C73)+((C53+C60+C65+C69+C70+C72)*0.75)</f>
        <v>565106.84864300629</v>
      </c>
      <c r="D95" s="204">
        <f>('Page 2-Staffing Plan'!D44)+((D35+D36+D37+D38+D39+D40+D55+D56)*D102)+(D34+D43+D63+D66+D67+D73)+((D53+D60+D65+D69+D70+D72)*0.75)</f>
        <v>761452.01101836388</v>
      </c>
      <c r="E95" s="204">
        <f>('Page 2-Staffing Plan'!E44)+((E35+E36+E37+E38+E39+E40+E55+E56)*E102)+(E34+E43+E63+E66+E67+E73)+((E53+E60+E65+E69+E70+E72)*0.75)</f>
        <v>1175486.9826852791</v>
      </c>
      <c r="F95" s="204">
        <f>('Page 2-Staffing Plan'!F44)+((F35+F36+F37+F38+F39+F40+F55+F56)*F102)+(F34+F43+F63+F66+F67+F73)+((F53+F60+F65+F69+F70+F72)*0.75)</f>
        <v>1258595.0599748441</v>
      </c>
      <c r="G95" s="204">
        <f>('Page 2-Staffing Plan'!G44)+((G35+G36+G37+G38+G39+G40+G55+G56)*G102)+(G34+G43+G63+G66+G67+G73)+((G53+G60+G65+G69+G70+G72)*0.75)</f>
        <v>1546811.8916010214</v>
      </c>
      <c r="H95" s="205"/>
      <c r="I95" s="4"/>
      <c r="J95" s="203" t="s">
        <v>248</v>
      </c>
      <c r="K95" s="204" t="e">
        <f>('Page 2-Staffing Plan'!K44)+((K35+K36+K37+K38+K39+K40+K55+K56)*K102)+(K34+K43+K63+K66+K67+K73)+((K53+K60+K65+K69+K70+K72)*0.75)</f>
        <v>#DIV/0!</v>
      </c>
      <c r="L95" s="204" t="e">
        <f>('Page 2-Staffing Plan'!L44)+((L35+L36+L37+L38+L39+L40+L55+L56)*L102)+(L34+L43+L63+L66+L67+L73)+((L53+L60+L65+L69+L70+L72)*0.75)</f>
        <v>#DIV/0!</v>
      </c>
      <c r="M95" s="204" t="e">
        <f>('Page 2-Staffing Plan'!M44)+((M35+M36+M37+M38+M39+M40+M55+M56)*M102)+(M34+M43+M63+M66+M67+M73)+((M53+M60+M65+M69+M70+M72)*0.75)</f>
        <v>#DIV/0!</v>
      </c>
      <c r="N95" s="204" t="e">
        <f>('Page 2-Staffing Plan'!N44)+((N35+N36+N37+N38+N39+N40+N55+N56)*N102)+(N34+N43+N63+N66+N67+N73)+((N53+N60+N65+N69+N70+N72)*0.75)</f>
        <v>#DIV/0!</v>
      </c>
      <c r="O95" s="204" t="e">
        <f>('Page 2-Staffing Plan'!O44)+((O35+O36+O37+O38+O39+O40+O55+O56)*O102)+(O34+O43+O63+O66+O67+O73)+((O53+O60+O65+O69+O70+O72)*0.75)</f>
        <v>#DIV/0!</v>
      </c>
      <c r="P95" s="204" t="e">
        <f>('Page 2-Staffing Plan'!P44)+((P35+P36+P37+P38+P39+P40+P55+P56)*P102)+(P34+P43+P63+P66+P67+P73)+((P53+P60+P65+P69+P70+P72)*0.75)</f>
        <v>#DIV/0!</v>
      </c>
      <c r="Q95" s="4"/>
      <c r="R95" s="4"/>
      <c r="S95" s="4"/>
      <c r="T95" s="4"/>
      <c r="U95" s="4"/>
      <c r="V95" s="4"/>
      <c r="W95" s="4"/>
      <c r="X95" s="4"/>
      <c r="Y95" s="4"/>
      <c r="Z95" s="4"/>
    </row>
    <row r="96" spans="1:26" ht="12.75" customHeight="1">
      <c r="A96" s="206" t="s">
        <v>249</v>
      </c>
      <c r="B96" s="381"/>
      <c r="C96" s="381">
        <f t="shared" ref="C96:G96" si="74">C95/C77</f>
        <v>0.58513231082262529</v>
      </c>
      <c r="D96" s="381">
        <f t="shared" si="74"/>
        <v>0.55656281844688182</v>
      </c>
      <c r="E96" s="381">
        <f t="shared" si="74"/>
        <v>0.60646133095524069</v>
      </c>
      <c r="F96" s="381">
        <f t="shared" si="74"/>
        <v>0.54686031854526063</v>
      </c>
      <c r="G96" s="381">
        <f t="shared" si="74"/>
        <v>0.57271269525682633</v>
      </c>
      <c r="H96" s="207"/>
      <c r="I96" s="73" t="s">
        <v>0</v>
      </c>
      <c r="J96" s="206" t="s">
        <v>249</v>
      </c>
      <c r="K96" s="381" t="e">
        <f t="shared" ref="K96:P96" si="75">K95/K77</f>
        <v>#DIV/0!</v>
      </c>
      <c r="L96" s="381" t="e">
        <f t="shared" si="75"/>
        <v>#DIV/0!</v>
      </c>
      <c r="M96" s="381" t="e">
        <f t="shared" si="75"/>
        <v>#DIV/0!</v>
      </c>
      <c r="N96" s="381" t="e">
        <f t="shared" si="75"/>
        <v>#DIV/0!</v>
      </c>
      <c r="O96" s="381" t="e">
        <f t="shared" si="75"/>
        <v>#DIV/0!</v>
      </c>
      <c r="P96" s="381" t="e">
        <f t="shared" si="75"/>
        <v>#DIV/0!</v>
      </c>
      <c r="Q96" s="73"/>
      <c r="R96" s="73"/>
      <c r="S96" s="73"/>
      <c r="T96" s="73"/>
      <c r="U96" s="73"/>
      <c r="V96" s="73"/>
      <c r="W96" s="73"/>
      <c r="X96" s="73"/>
      <c r="Y96" s="73"/>
      <c r="Z96" s="73"/>
    </row>
    <row r="97" spans="1:26" ht="12.75" customHeight="1">
      <c r="A97" s="208"/>
      <c r="B97" s="382"/>
      <c r="C97" s="382"/>
      <c r="D97" s="382"/>
      <c r="E97" s="382"/>
      <c r="F97" s="382"/>
      <c r="G97" s="382"/>
      <c r="H97" s="209"/>
      <c r="I97" s="4"/>
      <c r="J97" s="208"/>
      <c r="K97" s="382"/>
      <c r="L97" s="382"/>
      <c r="M97" s="382"/>
      <c r="N97" s="382"/>
      <c r="O97" s="382"/>
      <c r="P97" s="382"/>
      <c r="Q97" s="4"/>
      <c r="R97" s="4"/>
      <c r="S97" s="4"/>
      <c r="T97" s="4"/>
      <c r="U97" s="4"/>
      <c r="V97" s="4"/>
      <c r="W97" s="4"/>
      <c r="X97" s="4"/>
      <c r="Y97" s="4"/>
      <c r="Z97" s="4"/>
    </row>
    <row r="98" spans="1:26" ht="12.75" customHeight="1">
      <c r="A98" s="208" t="s">
        <v>250</v>
      </c>
      <c r="B98" s="383"/>
      <c r="C98" s="383">
        <f>'Page 2-Staffing Plan'!C45+((C35+C36+C37+C38+C39+C40+C41+C55+C56)*C103)+(C42+C44+C45+C46+C47+C48+C49+C50+C51+C52+C54+C57+C58+C59+C61+C62+C64+C68+C71+C74)+((C53+C60+C65+C69+C70+C72)*0.25)</f>
        <v>326711.69163841335</v>
      </c>
      <c r="D98" s="383">
        <f>'Page 2-Staffing Plan'!D45+((D35+D36+D37+D38+D39+D40+D41+D55+D56)*D103)+(D42+D44+D45+D46+D47+D48+D49+D50+D51+D52+D54+D57+D58+D59+D61+D62+D64+D68+D71+D74)+((D53+D60+D65+D69+D70+D72)*0.25)</f>
        <v>532461.18352818093</v>
      </c>
      <c r="E98" s="383">
        <f>'Page 2-Staffing Plan'!E45+((E35+E36+E37+E38+E39+E40+E41+E55+E56)*E103)+(E42+E44+E45+E46+E47+E48+E49+E50+E51+E52+E54+E57+E58+E59+E61+E62+E64+E68+E71+E74)+((E53+E60+E65+E69+E70+E72)*0.25)</f>
        <v>651617.19444433693</v>
      </c>
      <c r="F98" s="383">
        <f>'Page 2-Staffing Plan'!F45+((F35+F36+F37+F38+F39+F40+F41+F55+F56)*F103)+(F42+F44+F45+F46+F47+F48+F49+F50+F51+F52+F54+F57+F58+F59+F61+F62+F64+F68+F71+F74)+((F53+F60+F65+F69+F70+F72)*0.25)</f>
        <v>922134.2934813801</v>
      </c>
      <c r="G98" s="383">
        <f>'Page 2-Staffing Plan'!G45+((G35+G36+G37+G38+G39+G40+G41+G55+G56)*G103)+(G42+G44+G45+G46+G47+G48+G49+G50+G51+G52+G54+G57+G58+G59+G61+G62+G64+G68+G71+G74)+((G53+G60+G65+G69+G70+G72)*0.25)</f>
        <v>1002333.5046526938</v>
      </c>
      <c r="H98" s="209"/>
      <c r="I98" s="4"/>
      <c r="J98" s="208" t="s">
        <v>250</v>
      </c>
      <c r="K98" s="383" t="e">
        <f>'Page 2-Staffing Plan'!K45+((K35+K36+K37+K38+K39+K40+K41+K55+K56)*K103)+(K42+K44+K45+K46+K47+K48+K49+K50+K51+K52+K54+K57+K58+K59+K61+K62+K64+K68+K71+K74)+((K53+K60+K65+K69+K70+K72)*0.25)</f>
        <v>#DIV/0!</v>
      </c>
      <c r="L98" s="383" t="e">
        <f>'Page 2-Staffing Plan'!L45+((L35+L36+L37+L38+L39+L40+L41+L55+L56)*L103)+(L42+L44+L45+L46+L47+L48+L49+L50+L51+L52+L54+L57+L58+L59+L61+L62+L64+L68+L71+L74)+((L53+L60+L65+L69+L70+L72)*0.25)</f>
        <v>#DIV/0!</v>
      </c>
      <c r="M98" s="383" t="e">
        <f>'Page 2-Staffing Plan'!M45+((M35+M36+M37+M38+M39+M40+M41+M55+M56)*M103)+(M42+M44+M45+M46+M47+M48+M49+M50+M51+M52+M54+M57+M58+M59+M61+M62+M64+M68+M71+M74)+((M53+M60+M65+M69+M70+M72)*0.25)</f>
        <v>#DIV/0!</v>
      </c>
      <c r="N98" s="383" t="e">
        <f>'Page 2-Staffing Plan'!N45+((N35+N36+N37+N38+N39+N40+N41+N55+N56)*N103)+(N42+N44+N45+N46+N47+N48+N49+N50+N51+N52+N54+N57+N58+N59+N61+N62+N64+N68+N71+N74)+((N53+N60+N65+N69+N70+N72)*0.25)</f>
        <v>#DIV/0!</v>
      </c>
      <c r="O98" s="383" t="e">
        <f>'Page 2-Staffing Plan'!O45+((O35+O36+O37+O38+O39+O40+O41+O55+O56)*O103)+(O42+O44+O45+O46+O47+O48+O49+O50+O51+O52+O54+O57+O58+O59+O61+O62+O64+O68+O71+O74)+((O53+O60+O65+O69+O70+O72)*0.25)</f>
        <v>#DIV/0!</v>
      </c>
      <c r="P98" s="383" t="e">
        <f>'Page 2-Staffing Plan'!P45+((P35+P36+P37+P38+P39+P40+P41+P55+P56)*P103)+(P42+P44+P45+P46+P47+P48+P49+P50+P51+P52+P54+P57+P58+P59+P61+P62+P64+P68+P71+P74)+((P53+P60+P65+P69+P70+P72)*0.25)</f>
        <v>#DIV/0!</v>
      </c>
      <c r="Q98" s="4"/>
      <c r="R98" s="4"/>
      <c r="S98" s="4"/>
      <c r="T98" s="4"/>
      <c r="U98" s="4"/>
      <c r="V98" s="4"/>
      <c r="W98" s="4"/>
      <c r="X98" s="4"/>
      <c r="Y98" s="4"/>
      <c r="Z98" s="4"/>
    </row>
    <row r="99" spans="1:26" ht="12.75" customHeight="1">
      <c r="A99" s="206" t="s">
        <v>249</v>
      </c>
      <c r="B99" s="381"/>
      <c r="C99" s="381">
        <f t="shared" ref="C99:G99" si="76">C98/C77</f>
        <v>0.33828924133588212</v>
      </c>
      <c r="D99" s="381">
        <f t="shared" si="76"/>
        <v>0.38918814676406416</v>
      </c>
      <c r="E99" s="381">
        <f t="shared" si="76"/>
        <v>0.33618460845332626</v>
      </c>
      <c r="F99" s="381">
        <f t="shared" si="76"/>
        <v>0.4006679109997584</v>
      </c>
      <c r="G99" s="381">
        <f t="shared" si="76"/>
        <v>0.37111760396520982</v>
      </c>
      <c r="H99" s="207"/>
      <c r="I99" s="73"/>
      <c r="J99" s="206" t="s">
        <v>249</v>
      </c>
      <c r="K99" s="381" t="e">
        <f t="shared" ref="K99:P99" si="77">K98/K77</f>
        <v>#DIV/0!</v>
      </c>
      <c r="L99" s="381" t="e">
        <f t="shared" si="77"/>
        <v>#DIV/0!</v>
      </c>
      <c r="M99" s="381" t="e">
        <f t="shared" si="77"/>
        <v>#DIV/0!</v>
      </c>
      <c r="N99" s="381" t="e">
        <f t="shared" si="77"/>
        <v>#DIV/0!</v>
      </c>
      <c r="O99" s="381" t="e">
        <f t="shared" si="77"/>
        <v>#DIV/0!</v>
      </c>
      <c r="P99" s="381" t="e">
        <f t="shared" si="77"/>
        <v>#DIV/0!</v>
      </c>
      <c r="Q99" s="73"/>
      <c r="R99" s="73"/>
      <c r="S99" s="73"/>
      <c r="T99" s="73"/>
      <c r="U99" s="73"/>
      <c r="V99" s="73"/>
      <c r="W99" s="73"/>
      <c r="X99" s="73"/>
      <c r="Y99" s="73"/>
      <c r="Z99" s="73"/>
    </row>
    <row r="100" spans="1:26" ht="4.5" customHeight="1">
      <c r="A100" s="210"/>
      <c r="B100" s="211"/>
      <c r="C100" s="211"/>
      <c r="D100" s="211"/>
      <c r="E100" s="211"/>
      <c r="F100" s="211"/>
      <c r="G100" s="211"/>
      <c r="H100" s="212"/>
      <c r="I100" s="4"/>
      <c r="J100" s="210"/>
      <c r="K100" s="211"/>
      <c r="L100" s="211"/>
      <c r="M100" s="211"/>
      <c r="N100" s="211"/>
      <c r="O100" s="211"/>
      <c r="P100" s="211"/>
      <c r="Q100" s="4"/>
      <c r="R100" s="4"/>
      <c r="S100" s="4"/>
      <c r="T100" s="4"/>
      <c r="U100" s="4"/>
      <c r="V100" s="4"/>
      <c r="W100" s="4"/>
      <c r="X100" s="4"/>
      <c r="Y100" s="4"/>
      <c r="Z100" s="4"/>
    </row>
    <row r="101" spans="1:26"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75" customHeight="1">
      <c r="A102" s="4" t="s">
        <v>251</v>
      </c>
      <c r="B102" s="213"/>
      <c r="C102" s="213">
        <f>('Page 2-Staffing Plan'!C44)/('Page 2-Staffing Plan'!C44+'Page 2-Staffing Plan'!C45)</f>
        <v>0.81419624217119002</v>
      </c>
      <c r="D102" s="213">
        <f>('Page 2-Staffing Plan'!D44)/('Page 2-Staffing Plan'!D44+'Page 2-Staffing Plan'!D45)</f>
        <v>0.80133555926544242</v>
      </c>
      <c r="E102" s="213">
        <f>('Page 2-Staffing Plan'!E44)/('Page 2-Staffing Plan'!E44+'Page 2-Staffing Plan'!E45)</f>
        <v>0.79314720812182737</v>
      </c>
      <c r="F102" s="213">
        <f>('Page 2-Staffing Plan'!F44)/('Page 2-Staffing Plan'!F44+'Page 2-Staffing Plan'!F45)</f>
        <v>0.73654390934844194</v>
      </c>
      <c r="G102" s="213">
        <f>('Page 2-Staffing Plan'!G44)/('Page 2-Staffing Plan'!G44+'Page 2-Staffing Plan'!G45)</f>
        <v>0.7513206808843671</v>
      </c>
      <c r="H102" s="4"/>
      <c r="I102" s="4"/>
      <c r="J102" s="4" t="s">
        <v>251</v>
      </c>
      <c r="K102" s="213" t="e">
        <f>('Page 2-Staffing Plan'!K44)/('Page 2-Staffing Plan'!K44+'Page 2-Staffing Plan'!K45)</f>
        <v>#DIV/0!</v>
      </c>
      <c r="L102" s="213" t="e">
        <f>('Page 2-Staffing Plan'!L44)/('Page 2-Staffing Plan'!L44+'Page 2-Staffing Plan'!L45)</f>
        <v>#DIV/0!</v>
      </c>
      <c r="M102" s="213" t="e">
        <f>('Page 2-Staffing Plan'!M44)/('Page 2-Staffing Plan'!M44+'Page 2-Staffing Plan'!M45)</f>
        <v>#DIV/0!</v>
      </c>
      <c r="N102" s="213" t="e">
        <f>('Page 2-Staffing Plan'!N44)/('Page 2-Staffing Plan'!N44+'Page 2-Staffing Plan'!N45)</f>
        <v>#DIV/0!</v>
      </c>
      <c r="O102" s="213" t="e">
        <f>('Page 2-Staffing Plan'!O44)/('Page 2-Staffing Plan'!O44+'Page 2-Staffing Plan'!O45)</f>
        <v>#DIV/0!</v>
      </c>
      <c r="P102" s="213" t="e">
        <f>('Page 2-Staffing Plan'!P44)/('Page 2-Staffing Plan'!P44+'Page 2-Staffing Plan'!P45)</f>
        <v>#DIV/0!</v>
      </c>
      <c r="Q102" s="4"/>
      <c r="R102" s="4"/>
      <c r="S102" s="4"/>
      <c r="T102" s="4"/>
      <c r="U102" s="4"/>
      <c r="V102" s="4"/>
      <c r="W102" s="4"/>
      <c r="X102" s="4"/>
      <c r="Y102" s="4"/>
      <c r="Z102" s="4"/>
    </row>
    <row r="103" spans="1:26" ht="12.75" customHeight="1">
      <c r="A103" s="4"/>
      <c r="B103" s="213"/>
      <c r="C103" s="213">
        <f>('Page 2-Staffing Plan'!C45)/('Page 2-Staffing Plan'!C44+'Page 2-Staffing Plan'!C45)</f>
        <v>0.18580375782881003</v>
      </c>
      <c r="D103" s="213">
        <f>('Page 2-Staffing Plan'!D45)/('Page 2-Staffing Plan'!D44+'Page 2-Staffing Plan'!D45)</f>
        <v>0.19866444073455761</v>
      </c>
      <c r="E103" s="213">
        <f>('Page 2-Staffing Plan'!E45)/('Page 2-Staffing Plan'!E44+'Page 2-Staffing Plan'!E45)</f>
        <v>0.2068527918781726</v>
      </c>
      <c r="F103" s="213">
        <f>('Page 2-Staffing Plan'!F45)/('Page 2-Staffing Plan'!F44+'Page 2-Staffing Plan'!F45)</f>
        <v>0.26345609065155806</v>
      </c>
      <c r="G103" s="213">
        <f>('Page 2-Staffing Plan'!G45)/('Page 2-Staffing Plan'!G44+'Page 2-Staffing Plan'!G45)</f>
        <v>0.24867931911563296</v>
      </c>
      <c r="H103" s="4"/>
      <c r="I103" s="4"/>
      <c r="J103" s="4"/>
      <c r="K103" s="213" t="e">
        <f>('Page 2-Staffing Plan'!K45)/('Page 2-Staffing Plan'!K44+'Page 2-Staffing Plan'!K45)</f>
        <v>#DIV/0!</v>
      </c>
      <c r="L103" s="213" t="e">
        <f>('Page 2-Staffing Plan'!L45)/('Page 2-Staffing Plan'!L44+'Page 2-Staffing Plan'!L45)</f>
        <v>#DIV/0!</v>
      </c>
      <c r="M103" s="213" t="e">
        <f>('Page 2-Staffing Plan'!M45)/('Page 2-Staffing Plan'!M44+'Page 2-Staffing Plan'!M45)</f>
        <v>#DIV/0!</v>
      </c>
      <c r="N103" s="213" t="e">
        <f>('Page 2-Staffing Plan'!N45)/('Page 2-Staffing Plan'!N44+'Page 2-Staffing Plan'!N45)</f>
        <v>#DIV/0!</v>
      </c>
      <c r="O103" s="213" t="e">
        <f>('Page 2-Staffing Plan'!O45)/('Page 2-Staffing Plan'!O44+'Page 2-Staffing Plan'!O45)</f>
        <v>#DIV/0!</v>
      </c>
      <c r="P103" s="213" t="e">
        <f>('Page 2-Staffing Plan'!P45)/('Page 2-Staffing Plan'!P44+'Page 2-Staffing Plan'!P45)</f>
        <v>#DIV/0!</v>
      </c>
      <c r="Q103" s="4"/>
      <c r="R103" s="4"/>
      <c r="S103" s="4"/>
      <c r="T103" s="4"/>
      <c r="U103" s="4"/>
      <c r="V103" s="4"/>
      <c r="W103" s="4"/>
      <c r="X103" s="4"/>
      <c r="Y103" s="4"/>
      <c r="Z103" s="4"/>
    </row>
    <row r="104" spans="1:26" ht="12.75" customHeight="1">
      <c r="A104" s="4" t="s">
        <v>252</v>
      </c>
      <c r="B104" s="58"/>
      <c r="C104" s="58">
        <f t="shared" ref="C104:G104" si="78">C77-(C95+C98)</f>
        <v>73957.640918580117</v>
      </c>
      <c r="D104" s="58">
        <f t="shared" si="78"/>
        <v>74219.89983305498</v>
      </c>
      <c r="E104" s="58">
        <f t="shared" si="78"/>
        <v>111167.76649746206</v>
      </c>
      <c r="F104" s="58">
        <f t="shared" si="78"/>
        <v>120763.39943342796</v>
      </c>
      <c r="G104" s="58">
        <f t="shared" si="78"/>
        <v>151706.01565251406</v>
      </c>
      <c r="H104" s="4"/>
      <c r="I104" s="4"/>
      <c r="J104" s="4" t="s">
        <v>252</v>
      </c>
      <c r="K104" s="58" t="e">
        <f t="shared" ref="K104:P104" si="79">K77-(K95+K98)</f>
        <v>#DIV/0!</v>
      </c>
      <c r="L104" s="58" t="e">
        <f t="shared" si="79"/>
        <v>#DIV/0!</v>
      </c>
      <c r="M104" s="58" t="e">
        <f t="shared" si="79"/>
        <v>#DIV/0!</v>
      </c>
      <c r="N104" s="58" t="e">
        <f t="shared" si="79"/>
        <v>#DIV/0!</v>
      </c>
      <c r="O104" s="58" t="e">
        <f t="shared" si="79"/>
        <v>#DIV/0!</v>
      </c>
      <c r="P104" s="58" t="e">
        <f t="shared" si="79"/>
        <v>#DIV/0!</v>
      </c>
      <c r="Q104" s="4"/>
      <c r="R104" s="4"/>
      <c r="S104" s="4"/>
      <c r="T104" s="4"/>
      <c r="U104" s="4"/>
      <c r="V104" s="4"/>
      <c r="W104" s="4"/>
      <c r="X104" s="4"/>
      <c r="Y104" s="4"/>
      <c r="Z104" s="4"/>
    </row>
    <row r="105" spans="1:26" ht="12.75" customHeight="1">
      <c r="A105" s="4"/>
      <c r="B105" s="58"/>
      <c r="C105" s="58"/>
      <c r="D105" s="58"/>
      <c r="E105" s="58"/>
      <c r="F105" s="58"/>
      <c r="G105" s="58"/>
      <c r="H105" s="4"/>
      <c r="I105" s="4"/>
      <c r="J105" s="4"/>
      <c r="K105" s="58"/>
      <c r="L105" s="58"/>
      <c r="M105" s="58"/>
      <c r="N105" s="58"/>
      <c r="O105" s="58"/>
      <c r="P105" s="58"/>
      <c r="Q105" s="4"/>
      <c r="R105" s="4"/>
      <c r="S105" s="4"/>
      <c r="T105" s="4"/>
      <c r="U105" s="4"/>
      <c r="V105" s="4"/>
      <c r="W105" s="4"/>
      <c r="X105" s="4"/>
      <c r="Y105" s="4"/>
      <c r="Z105" s="4"/>
    </row>
    <row r="106" spans="1:26" ht="12.75" customHeight="1">
      <c r="A106" s="31" t="s">
        <v>253</v>
      </c>
      <c r="B106" s="214">
        <f t="shared" ref="B106:G106" si="80">SUM(B49:B52)+B68</f>
        <v>84600</v>
      </c>
      <c r="C106" s="214">
        <f t="shared" si="80"/>
        <v>59349.2</v>
      </c>
      <c r="D106" s="214">
        <f t="shared" si="80"/>
        <v>164309.96799999999</v>
      </c>
      <c r="E106" s="214">
        <f t="shared" si="80"/>
        <v>108085.56192000001</v>
      </c>
      <c r="F106" s="214">
        <f t="shared" si="80"/>
        <v>171725.72541439999</v>
      </c>
      <c r="G106" s="214">
        <f t="shared" si="80"/>
        <v>153568.63992268799</v>
      </c>
      <c r="H106" s="4"/>
      <c r="I106" s="4"/>
      <c r="J106" s="31" t="s">
        <v>253</v>
      </c>
      <c r="K106" s="214">
        <f t="shared" ref="K106:P106" si="81">SUM(K49:K52)+K68</f>
        <v>0</v>
      </c>
      <c r="L106" s="214">
        <f t="shared" si="81"/>
        <v>-25250.800000000003</v>
      </c>
      <c r="M106" s="214">
        <f t="shared" si="81"/>
        <v>104960.768</v>
      </c>
      <c r="N106" s="214">
        <f t="shared" si="81"/>
        <v>-56224.406080000001</v>
      </c>
      <c r="O106" s="214">
        <f t="shared" si="81"/>
        <v>63640.163494399996</v>
      </c>
      <c r="P106" s="214">
        <f t="shared" si="81"/>
        <v>-18157.085491712001</v>
      </c>
      <c r="Q106" s="4"/>
      <c r="R106" s="4"/>
      <c r="S106" s="4"/>
      <c r="T106" s="4"/>
      <c r="U106" s="4"/>
      <c r="V106" s="4"/>
      <c r="W106" s="4"/>
      <c r="X106" s="4"/>
      <c r="Y106" s="4"/>
      <c r="Z106" s="4"/>
    </row>
    <row r="107" spans="1:26" ht="12.75" customHeight="1">
      <c r="A107" s="215" t="s">
        <v>254</v>
      </c>
      <c r="B107" s="216">
        <f t="shared" ref="B107:G107" si="82">B106/B77</f>
        <v>0.29695815338362491</v>
      </c>
      <c r="C107" s="216">
        <f t="shared" si="82"/>
        <v>6.1452333527481709E-2</v>
      </c>
      <c r="D107" s="216">
        <f t="shared" si="82"/>
        <v>0.12009794125659154</v>
      </c>
      <c r="E107" s="216">
        <f t="shared" si="82"/>
        <v>5.5763878889842501E-2</v>
      </c>
      <c r="F107" s="216">
        <f t="shared" si="82"/>
        <v>7.4614932069105494E-2</v>
      </c>
      <c r="G107" s="216">
        <f t="shared" si="82"/>
        <v>5.6859344148185123E-2</v>
      </c>
      <c r="H107" s="217"/>
      <c r="I107" s="217"/>
      <c r="J107" s="215" t="s">
        <v>254</v>
      </c>
      <c r="K107" s="216" t="e">
        <f t="shared" ref="K107:P107" si="83">K106/K77</f>
        <v>#DIV/0!</v>
      </c>
      <c r="L107" s="216">
        <f t="shared" si="83"/>
        <v>-3.7085124805222594E-2</v>
      </c>
      <c r="M107" s="216">
        <f t="shared" si="83"/>
        <v>0.2608648306066228</v>
      </c>
      <c r="N107" s="216">
        <f t="shared" si="83"/>
        <v>-9.8615286704651278E-2</v>
      </c>
      <c r="O107" s="216">
        <f t="shared" si="83"/>
        <v>0.17521067590704642</v>
      </c>
      <c r="P107" s="216">
        <f t="shared" si="83"/>
        <v>-4.5465611128662924E-2</v>
      </c>
      <c r="Q107" s="217"/>
      <c r="R107" s="217"/>
      <c r="S107" s="217"/>
      <c r="T107" s="217"/>
      <c r="U107" s="217"/>
      <c r="V107" s="217"/>
      <c r="W107" s="217"/>
      <c r="X107" s="217"/>
      <c r="Y107" s="217"/>
      <c r="Z107" s="217"/>
    </row>
    <row r="108" spans="1:26" ht="12.75" customHeight="1"/>
    <row r="109" spans="1:26" ht="12.75" customHeight="1"/>
    <row r="110" spans="1:26" ht="12.75" customHeight="1"/>
    <row r="111" spans="1:26" ht="12.75" customHeight="1"/>
    <row r="112" spans="1:26"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conditionalFormatting sqref="L8:P29">
    <cfRule type="colorScale" priority="1">
      <colorScale>
        <cfvo type="min"/>
        <cfvo type="percentile" val="50"/>
        <cfvo type="max"/>
        <color rgb="FFE67C73"/>
        <color rgb="FFFFFFFF"/>
        <color rgb="FF57BB8A"/>
      </colorScale>
    </cfRule>
  </conditionalFormatting>
  <conditionalFormatting sqref="L33:P76">
    <cfRule type="colorScale" priority="2">
      <colorScale>
        <cfvo type="min"/>
        <cfvo type="percentile" val="50"/>
        <cfvo type="max"/>
        <color rgb="FF57BB8A"/>
        <color rgb="FFFFFFFF"/>
        <color rgb="FFE67C73"/>
      </colorScale>
    </cfRule>
  </conditionalFormatting>
  <printOptions horizontalCentered="1"/>
  <pageMargins left="0.17013888888888901" right="0.17013888888888901" top="0.45" bottom="0.79027777777777797" header="0" footer="0"/>
  <pageSetup fitToHeight="0"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45"/>
  <sheetViews>
    <sheetView workbookViewId="0"/>
  </sheetViews>
  <sheetFormatPr defaultColWidth="12.5703125" defaultRowHeight="15" customHeight="1"/>
  <cols>
    <col min="1" max="1" width="34" customWidth="1"/>
    <col min="2" max="7" width="14.42578125" customWidth="1"/>
    <col min="8" max="8" width="2.42578125" customWidth="1"/>
  </cols>
  <sheetData>
    <row r="1" spans="1:8" ht="12.75" customHeight="1">
      <c r="A1" s="167">
        <f>'Page 3-Assumptions'!A1</f>
        <v>0</v>
      </c>
      <c r="B1" s="168"/>
      <c r="C1" s="168"/>
      <c r="D1" s="168"/>
      <c r="E1" s="168"/>
      <c r="F1" s="168"/>
      <c r="G1" s="168"/>
      <c r="H1" s="169"/>
    </row>
    <row r="2" spans="1:8" ht="18.600000000000001">
      <c r="A2" s="170" t="s">
        <v>255</v>
      </c>
      <c r="B2" s="258"/>
      <c r="C2" s="258"/>
      <c r="D2" s="258"/>
      <c r="E2" s="258"/>
      <c r="F2" s="258"/>
      <c r="G2" s="258"/>
      <c r="H2" s="171"/>
    </row>
    <row r="3" spans="1:8" ht="22.5" customHeight="1">
      <c r="A3" s="218"/>
      <c r="B3" s="113" t="s">
        <v>241</v>
      </c>
      <c r="C3" s="113" t="s">
        <v>8</v>
      </c>
      <c r="D3" s="113" t="s">
        <v>9</v>
      </c>
      <c r="E3" s="113" t="s">
        <v>10</v>
      </c>
      <c r="F3" s="113" t="s">
        <v>11</v>
      </c>
      <c r="G3" s="113" t="s">
        <v>12</v>
      </c>
      <c r="H3" s="219"/>
    </row>
    <row r="4" spans="1:8" ht="12.75" customHeight="1">
      <c r="A4" s="220" t="s">
        <v>155</v>
      </c>
      <c r="B4" s="115">
        <v>0</v>
      </c>
      <c r="C4" s="115">
        <f>'Page 5-Year 1'!E5</f>
        <v>72</v>
      </c>
      <c r="D4" s="115">
        <f>'Page 6-Year 2'!E5</f>
        <v>96</v>
      </c>
      <c r="E4" s="115">
        <f>'Page 7-Year 3'!E5</f>
        <v>144</v>
      </c>
      <c r="F4" s="115">
        <f>'Page 8-Year 4'!E5</f>
        <v>160</v>
      </c>
      <c r="G4" s="115">
        <f>'Page 9-Year 5'!E5</f>
        <v>192</v>
      </c>
      <c r="H4" s="219"/>
    </row>
    <row r="5" spans="1:8" ht="12.75" customHeight="1">
      <c r="A5" s="220" t="s">
        <v>156</v>
      </c>
      <c r="B5" s="115" t="str">
        <f>'Page 4-Year 0'!D6</f>
        <v>N/A</v>
      </c>
      <c r="C5" s="115">
        <f>'Page 5-Year 1'!E6</f>
        <v>60</v>
      </c>
      <c r="D5" s="115">
        <f>'Page 6-Year 2'!E6</f>
        <v>76</v>
      </c>
      <c r="E5" s="115">
        <f>'Page 7-Year 3'!E6</f>
        <v>104</v>
      </c>
      <c r="F5" s="115">
        <f>'Page 8-Year 4'!E6</f>
        <v>120</v>
      </c>
      <c r="G5" s="115">
        <f>'Page 9-Year 5'!E6</f>
        <v>132</v>
      </c>
      <c r="H5" s="219"/>
    </row>
    <row r="6" spans="1:8" ht="13.5" customHeight="1">
      <c r="A6" s="218" t="s">
        <v>53</v>
      </c>
      <c r="B6" s="325"/>
      <c r="C6" s="325"/>
      <c r="D6" s="325"/>
      <c r="E6" s="325"/>
      <c r="F6" s="325"/>
      <c r="G6" s="325"/>
      <c r="H6" s="219"/>
    </row>
    <row r="7" spans="1:8" ht="12.75" customHeight="1">
      <c r="A7" s="221" t="s">
        <v>256</v>
      </c>
      <c r="B7" s="132">
        <f>'Page 10-6 yr Budget-detail'!B28</f>
        <v>0</v>
      </c>
      <c r="C7" s="132">
        <f>'Page 10-6 yr Budget-detail'!C28</f>
        <v>555942.77999999991</v>
      </c>
      <c r="D7" s="132">
        <f>'Page 10-6 yr Budget-detail'!D28</f>
        <v>721799.04269999976</v>
      </c>
      <c r="E7" s="132">
        <f>'Page 10-6 yr Budget-detail'!E28</f>
        <v>1012418.1309449996</v>
      </c>
      <c r="F7" s="132">
        <f>'Page 10-6 yr Budget-detail'!F28</f>
        <v>1197379.1356368745</v>
      </c>
      <c r="G7" s="132">
        <f>'Page 10-6 yr Budget-detail'!G28</f>
        <v>1350044.9754305757</v>
      </c>
      <c r="H7" s="171"/>
    </row>
    <row r="8" spans="1:8" ht="12.75" customHeight="1">
      <c r="A8" s="221" t="s">
        <v>257</v>
      </c>
      <c r="B8" s="133">
        <f>'Page 10-6 yr Budget-detail'!B29</f>
        <v>0</v>
      </c>
      <c r="C8" s="133">
        <f>'Page 10-6 yr Budget-detail'!C29</f>
        <v>73535.61</v>
      </c>
      <c r="D8" s="133">
        <f>'Page 10-6 yr Budget-detail'!D29</f>
        <v>123428.41</v>
      </c>
      <c r="E8" s="133">
        <f>'Page 10-6 yr Budget-detail'!E29</f>
        <v>246856.82</v>
      </c>
      <c r="F8" s="133">
        <f>'Page 10-6 yr Budget-detail'!F29</f>
        <v>246856.82</v>
      </c>
      <c r="G8" s="133">
        <f>'Page 10-6 yr Budget-detail'!G29</f>
        <v>370285.23</v>
      </c>
      <c r="H8" s="171"/>
    </row>
    <row r="9" spans="1:8" ht="12.75" customHeight="1">
      <c r="A9" s="221" t="s">
        <v>258</v>
      </c>
      <c r="B9" s="133">
        <f>'Page 10-6 yr Budget-detail'!B9</f>
        <v>0</v>
      </c>
      <c r="C9" s="133">
        <f>'Page 10-6 yr Budget-detail'!C9</f>
        <v>63403.77</v>
      </c>
      <c r="D9" s="133">
        <f>'Page 10-6 yr Budget-detail'!D9</f>
        <v>105672.95</v>
      </c>
      <c r="E9" s="133">
        <f>'Page 10-6 yr Budget-detail'!E9</f>
        <v>211345.9</v>
      </c>
      <c r="F9" s="133">
        <f>'Page 10-6 yr Budget-detail'!F9</f>
        <v>211345.9</v>
      </c>
      <c r="G9" s="133">
        <f>'Page 10-6 yr Budget-detail'!G9</f>
        <v>317018.84999999998</v>
      </c>
      <c r="H9" s="171"/>
    </row>
    <row r="10" spans="1:8" ht="12.75" customHeight="1">
      <c r="A10" s="221" t="s">
        <v>259</v>
      </c>
      <c r="B10" s="329">
        <f>SUM('Page 10-6 yr Budget-detail'!B15:B21)</f>
        <v>0</v>
      </c>
      <c r="C10" s="329">
        <f>SUM('Page 10-6 yr Budget-detail'!C15:C21)</f>
        <v>75124</v>
      </c>
      <c r="D10" s="329">
        <f>SUM('Page 10-6 yr Budget-detail'!D15:D21)</f>
        <v>105691.86</v>
      </c>
      <c r="E10" s="329">
        <f>SUM('Page 10-6 yr Budget-detail'!E15:E21)</f>
        <v>139370.144</v>
      </c>
      <c r="F10" s="329">
        <f>SUM('Page 10-6 yr Budget-detail'!F15:F21)</f>
        <v>163721.96799999999</v>
      </c>
      <c r="G10" s="329">
        <f>SUM('Page 10-6 yr Budget-detail'!G15:G21)</f>
        <v>181419.04199600001</v>
      </c>
      <c r="H10" s="171"/>
    </row>
    <row r="11" spans="1:8" ht="12.75" customHeight="1">
      <c r="A11" s="221" t="s">
        <v>260</v>
      </c>
      <c r="B11" s="133">
        <f>SUM('Page 10-6 yr Budget-detail'!B22:B27)</f>
        <v>0</v>
      </c>
      <c r="C11" s="133">
        <f>SUM('Page 10-6 yr Budget-detail'!C22:C27)</f>
        <v>108857.344</v>
      </c>
      <c r="D11" s="133">
        <f>SUM('Page 10-6 yr Budget-detail'!D22:D27)</f>
        <v>114551.37088</v>
      </c>
      <c r="E11" s="133">
        <f>SUM('Page 10-6 yr Budget-detail'!E22:E27)</f>
        <v>125815.89749759999</v>
      </c>
      <c r="F11" s="133">
        <f>SUM('Page 10-6 yr Budget-detail'!F22:F27)</f>
        <v>134511.56968755199</v>
      </c>
      <c r="G11" s="133">
        <f>SUM('Page 10-6 yr Budget-detail'!G22:G27)</f>
        <v>147051.62252130304</v>
      </c>
      <c r="H11" s="171"/>
    </row>
    <row r="12" spans="1:8" ht="12.75" customHeight="1">
      <c r="A12" s="221" t="s">
        <v>261</v>
      </c>
      <c r="B12" s="133">
        <f>'Page 10-6 yr Budget-detail'!B8+'Page 10-6 yr Budget-detail'!B14</f>
        <v>295000</v>
      </c>
      <c r="C12" s="133">
        <f>'Page 10-6 yr Budget-detail'!C8+'Page 10-6 yr Budget-detail'!C14</f>
        <v>0</v>
      </c>
      <c r="D12" s="133">
        <f>'Page 10-6 yr Budget-detail'!D8+'Page 10-6 yr Budget-detail'!D14</f>
        <v>110000</v>
      </c>
      <c r="E12" s="133">
        <f>'Page 10-6 yr Budget-detail'!E8+'Page 10-6 yr Budget-detail'!E14</f>
        <v>0</v>
      </c>
      <c r="F12" s="133">
        <f>'Page 10-6 yr Budget-detail'!F8+'Page 10-6 yr Budget-detail'!F14</f>
        <v>110000</v>
      </c>
      <c r="G12" s="133">
        <f>'Page 10-6 yr Budget-detail'!G8+'Page 10-6 yr Budget-detail'!G14</f>
        <v>0</v>
      </c>
      <c r="H12" s="171"/>
    </row>
    <row r="13" spans="1:8" ht="12.75" customHeight="1">
      <c r="A13" s="221" t="s">
        <v>262</v>
      </c>
      <c r="B13" s="329">
        <f>'Page 10-6 yr Budget-detail'!B10</f>
        <v>0</v>
      </c>
      <c r="C13" s="329">
        <f>'Page 10-6 yr Budget-detail'!C10</f>
        <v>0</v>
      </c>
      <c r="D13" s="329">
        <f>'Page 10-6 yr Budget-detail'!D10</f>
        <v>0</v>
      </c>
      <c r="E13" s="329">
        <f>'Page 10-6 yr Budget-detail'!E10</f>
        <v>0</v>
      </c>
      <c r="F13" s="329">
        <f>'Page 10-6 yr Budget-detail'!F10</f>
        <v>0</v>
      </c>
      <c r="G13" s="329">
        <f>'Page 10-6 yr Budget-detail'!G10</f>
        <v>0</v>
      </c>
      <c r="H13" s="171"/>
    </row>
    <row r="14" spans="1:8" ht="12.75" customHeight="1">
      <c r="A14" s="221" t="s">
        <v>263</v>
      </c>
      <c r="B14" s="222">
        <f>'Page 10-6 yr Budget-detail'!B11+'Page 10-6 yr Budget-detail'!B12+'Page 10-6 yr Budget-detail'!B13</f>
        <v>0</v>
      </c>
      <c r="C14" s="222">
        <f>'Page 10-6 yr Budget-detail'!C11+'Page 10-6 yr Budget-detail'!C12+'Page 10-6 yr Budget-detail'!C13</f>
        <v>128016</v>
      </c>
      <c r="D14" s="222">
        <f>'Page 10-6 yr Budget-detail'!D11+'Page 10-6 yr Budget-detail'!D12+'Page 10-6 yr Budget-detail'!D13</f>
        <v>170688</v>
      </c>
      <c r="E14" s="222">
        <f>'Page 10-6 yr Budget-detail'!E11+'Page 10-6 yr Budget-detail'!E12+'Page 10-6 yr Budget-detail'!E13</f>
        <v>256032</v>
      </c>
      <c r="F14" s="222">
        <f>'Page 10-6 yr Budget-detail'!F11+'Page 10-6 yr Budget-detail'!F12+'Page 10-6 yr Budget-detail'!F13</f>
        <v>284480</v>
      </c>
      <c r="G14" s="222">
        <f>'Page 10-6 yr Budget-detail'!G11+'Page 10-6 yr Budget-detail'!G12+'Page 10-6 yr Budget-detail'!G13</f>
        <v>341376</v>
      </c>
      <c r="H14" s="171"/>
    </row>
    <row r="15" spans="1:8" ht="12.75" customHeight="1">
      <c r="A15" s="223" t="s">
        <v>174</v>
      </c>
      <c r="B15" s="132">
        <f t="shared" ref="B15:G15" si="0">SUM(B7:B14)</f>
        <v>295000</v>
      </c>
      <c r="C15" s="384">
        <f t="shared" si="0"/>
        <v>1004879.504</v>
      </c>
      <c r="D15" s="384">
        <f t="shared" si="0"/>
        <v>1451831.6335799999</v>
      </c>
      <c r="E15" s="384">
        <f t="shared" si="0"/>
        <v>1991838.8924425996</v>
      </c>
      <c r="F15" s="384">
        <f t="shared" si="0"/>
        <v>2348295.3933244264</v>
      </c>
      <c r="G15" s="384">
        <f t="shared" si="0"/>
        <v>2707195.7199478787</v>
      </c>
      <c r="H15" s="171"/>
    </row>
    <row r="16" spans="1:8" ht="6" customHeight="1">
      <c r="A16" s="224"/>
      <c r="B16" s="133"/>
      <c r="C16" s="329"/>
      <c r="D16" s="329"/>
      <c r="E16" s="329"/>
      <c r="F16" s="329"/>
      <c r="G16" s="329"/>
      <c r="H16" s="171"/>
    </row>
    <row r="17" spans="1:8" ht="12.75" customHeight="1">
      <c r="A17" s="223" t="s">
        <v>106</v>
      </c>
      <c r="B17" s="133"/>
      <c r="C17" s="329"/>
      <c r="D17" s="329"/>
      <c r="E17" s="329"/>
      <c r="F17" s="329"/>
      <c r="G17" s="329"/>
      <c r="H17" s="171"/>
    </row>
    <row r="18" spans="1:8" ht="12.75" customHeight="1">
      <c r="A18" s="221" t="s">
        <v>264</v>
      </c>
      <c r="B18" s="133">
        <f>SUM('Page 10-6 yr Budget-detail'!B33:B40)</f>
        <v>59194.375</v>
      </c>
      <c r="C18" s="133">
        <f>SUM('Page 10-6 yr Budget-detail'!C33:C40)</f>
        <v>645431.04999999993</v>
      </c>
      <c r="D18" s="133">
        <f>SUM('Page 10-6 yr Budget-detail'!D33:D40)</f>
        <v>826906.56</v>
      </c>
      <c r="E18" s="133">
        <f>SUM('Page 10-6 yr Budget-detail'!E33:E40)</f>
        <v>1337463.1912</v>
      </c>
      <c r="F18" s="133">
        <f>SUM('Page 10-6 yr Budget-detail'!F33:F40)</f>
        <v>1537191.4782400001</v>
      </c>
      <c r="G18" s="133">
        <f>SUM('Page 10-6 yr Budget-detail'!G33:G40)</f>
        <v>1893864.2976657602</v>
      </c>
      <c r="H18" s="171"/>
    </row>
    <row r="19" spans="1:8" ht="12.75" customHeight="1">
      <c r="A19" s="221" t="s">
        <v>265</v>
      </c>
      <c r="B19" s="133">
        <f>SUM('Page 10-6 yr Budget-detail'!B61:B62)</f>
        <v>0</v>
      </c>
      <c r="C19" s="133">
        <f>SUM('Page 10-6 yr Budget-detail'!C61:C62)</f>
        <v>22237.711199999998</v>
      </c>
      <c r="D19" s="133">
        <f>SUM('Page 10-6 yr Budget-detail'!D61:D62)</f>
        <v>28871.961707999988</v>
      </c>
      <c r="E19" s="133">
        <f>SUM('Page 10-6 yr Budget-detail'!E61:E62)</f>
        <v>40496.725237799983</v>
      </c>
      <c r="F19" s="133">
        <f>SUM('Page 10-6 yr Budget-detail'!F61:F62)</f>
        <v>47895.165425474981</v>
      </c>
      <c r="G19" s="133">
        <f>SUM('Page 10-6 yr Budget-detail'!G61:G62)</f>
        <v>54001.799017223027</v>
      </c>
      <c r="H19" s="171"/>
    </row>
    <row r="20" spans="1:8" ht="12.75" customHeight="1">
      <c r="A20" s="221" t="s">
        <v>266</v>
      </c>
      <c r="B20" s="133">
        <f>SUM('Page 10-6 yr Budget-detail'!B41:B48)+'Page 10-6 yr Budget-detail'!B53+SUM('Page 10-6 yr Budget-detail'!B54:B60)</f>
        <v>41905.25</v>
      </c>
      <c r="C20" s="133">
        <f>SUM('Page 10-6 yr Budget-detail'!C41:C48)+'Page 10-6 yr Budget-detail'!C53+SUM('Page 10-6 yr Budget-detail'!C54:C60)</f>
        <v>207010.22</v>
      </c>
      <c r="D20" s="133">
        <f>SUM('Page 10-6 yr Budget-detail'!D41:D48)+'Page 10-6 yr Budget-detail'!D53+SUM('Page 10-6 yr Budget-detail'!D54:D60)</f>
        <v>242456.2752</v>
      </c>
      <c r="E20" s="133">
        <f>SUM('Page 10-6 yr Budget-detail'!E41:E48)+'Page 10-6 yr Budget-detail'!E53+SUM('Page 10-6 yr Budget-detail'!E54:E60)</f>
        <v>296489.14585600002</v>
      </c>
      <c r="F20" s="133">
        <f>SUM('Page 10-6 yr Budget-detail'!F41:F48)+'Page 10-6 yr Budget-detail'!F53+SUM('Page 10-6 yr Budget-detail'!F54:F60)</f>
        <v>334738.08263680001</v>
      </c>
      <c r="G20" s="133">
        <f>SUM('Page 10-6 yr Budget-detail'!G41:G48)+'Page 10-6 yr Budget-detail'!G53+SUM('Page 10-6 yr Budget-detail'!G54:G60)</f>
        <v>367943.56481944321</v>
      </c>
      <c r="H20" s="171"/>
    </row>
    <row r="21" spans="1:8" ht="12.75" customHeight="1">
      <c r="A21" s="221" t="s">
        <v>267</v>
      </c>
      <c r="B21" s="133">
        <f>SUM('Page 10-6 yr Budget-detail'!B49:B52)+'Page 10-6 yr Budget-detail'!B68-B22</f>
        <v>75600</v>
      </c>
      <c r="C21" s="133">
        <f>SUM('Page 10-6 yr Budget-detail'!C49:C52)+'Page 10-6 yr Budget-detail'!C68-C22</f>
        <v>11349.199999999997</v>
      </c>
      <c r="D21" s="133">
        <f>SUM('Page 10-6 yr Budget-detail'!D49:D52)+'Page 10-6 yr Budget-detail'!D68-D22</f>
        <v>110909.96799999999</v>
      </c>
      <c r="E21" s="133">
        <f>SUM('Page 10-6 yr Budget-detail'!E49:E52)+'Page 10-6 yr Budget-detail'!E68-E22</f>
        <v>14485.561920000007</v>
      </c>
      <c r="F21" s="133">
        <f>SUM('Page 10-6 yr Budget-detail'!F49:F52)+'Page 10-6 yr Budget-detail'!F68-F22</f>
        <v>72125.725414399989</v>
      </c>
      <c r="G21" s="133">
        <f>SUM('Page 10-6 yr Budget-detail'!G49:G52)+'Page 10-6 yr Budget-detail'!G68-G22</f>
        <v>23968.639922687988</v>
      </c>
      <c r="H21" s="171"/>
    </row>
    <row r="22" spans="1:8" ht="12.75" customHeight="1">
      <c r="A22" s="221" t="s">
        <v>268</v>
      </c>
      <c r="B22" s="133">
        <f>'Page 10-6 yr Budget-detail'!B52</f>
        <v>9000</v>
      </c>
      <c r="C22" s="133">
        <f>'Page 10-6 yr Budget-detail'!C52</f>
        <v>48000</v>
      </c>
      <c r="D22" s="133">
        <f>'Page 10-6 yr Budget-detail'!D52</f>
        <v>53400</v>
      </c>
      <c r="E22" s="133">
        <f>'Page 10-6 yr Budget-detail'!E52</f>
        <v>93600</v>
      </c>
      <c r="F22" s="133">
        <f>'Page 10-6 yr Budget-detail'!F52</f>
        <v>99600</v>
      </c>
      <c r="G22" s="133">
        <f>'Page 10-6 yr Budget-detail'!G52</f>
        <v>129600</v>
      </c>
      <c r="H22" s="171"/>
    </row>
    <row r="23" spans="1:8" ht="12.75" customHeight="1">
      <c r="A23" s="221" t="s">
        <v>269</v>
      </c>
      <c r="B23" s="133">
        <f>'Page 10-6 yr Budget-detail'!B73</f>
        <v>0</v>
      </c>
      <c r="C23" s="133">
        <f>'Page 10-6 yr Budget-detail'!C73</f>
        <v>0</v>
      </c>
      <c r="D23" s="133">
        <f>'Page 10-6 yr Budget-detail'!D73</f>
        <v>0</v>
      </c>
      <c r="E23" s="133">
        <f>'Page 10-6 yr Budget-detail'!E73</f>
        <v>0</v>
      </c>
      <c r="F23" s="133">
        <f>'Page 10-6 yr Budget-detail'!F73</f>
        <v>0</v>
      </c>
      <c r="G23" s="133">
        <f>'Page 10-6 yr Budget-detail'!G73</f>
        <v>0</v>
      </c>
      <c r="H23" s="171"/>
    </row>
    <row r="24" spans="1:8" ht="12.75" customHeight="1">
      <c r="A24" s="221" t="s">
        <v>270</v>
      </c>
      <c r="B24" s="133">
        <f>SUM('Page 10-6 yr Budget-detail'!B63:B65)</f>
        <v>52689</v>
      </c>
      <c r="C24" s="133">
        <f>SUM('Page 10-6 yr Budget-detail'!C63:C65)</f>
        <v>8540</v>
      </c>
      <c r="D24" s="133">
        <f>SUM('Page 10-6 yr Budget-detail'!D63:D65)</f>
        <v>33580.800000000003</v>
      </c>
      <c r="E24" s="133">
        <f>SUM('Page 10-6 yr Budget-detail'!E63:E65)</f>
        <v>30122.416000000001</v>
      </c>
      <c r="F24" s="133">
        <f>SUM('Page 10-6 yr Budget-detail'!F63:F65)</f>
        <v>34664.864320000001</v>
      </c>
      <c r="G24" s="133">
        <f>SUM('Page 10-6 yr Budget-detail'!G63:G65)</f>
        <v>24289.777670400003</v>
      </c>
      <c r="H24" s="171"/>
    </row>
    <row r="25" spans="1:8" ht="12.75" customHeight="1">
      <c r="A25" s="221" t="s">
        <v>271</v>
      </c>
      <c r="B25" s="133">
        <f>SUM('Page 10-6 yr Budget-detail'!B66:B67)</f>
        <v>15000</v>
      </c>
      <c r="C25" s="133">
        <f>SUM('Page 10-6 yr Budget-detail'!C66:C67)</f>
        <v>0</v>
      </c>
      <c r="D25" s="133">
        <f>SUM('Page 10-6 yr Budget-detail'!D66:D67)</f>
        <v>5000</v>
      </c>
      <c r="E25" s="133">
        <f>SUM('Page 10-6 yr Budget-detail'!E66:E67)</f>
        <v>0</v>
      </c>
      <c r="F25" s="133">
        <f>SUM('Page 10-6 yr Budget-detail'!F66:F67)</f>
        <v>5000</v>
      </c>
      <c r="G25" s="133">
        <f>SUM('Page 10-6 yr Budget-detail'!G66:G67)</f>
        <v>5250</v>
      </c>
      <c r="H25" s="171"/>
    </row>
    <row r="26" spans="1:8" ht="12.75" customHeight="1">
      <c r="A26" s="221" t="s">
        <v>272</v>
      </c>
      <c r="B26" s="133">
        <f>SUM('Page 10-6 yr Budget-detail'!B70)</f>
        <v>0</v>
      </c>
      <c r="C26" s="133">
        <f>SUM('Page 10-6 yr Budget-detail'!C70)</f>
        <v>0</v>
      </c>
      <c r="D26" s="133">
        <f>SUM('Page 10-6 yr Budget-detail'!D70)</f>
        <v>0</v>
      </c>
      <c r="E26" s="133">
        <f>SUM('Page 10-6 yr Budget-detail'!E70)</f>
        <v>0</v>
      </c>
      <c r="F26" s="133">
        <f>SUM('Page 10-6 yr Budget-detail'!F70)</f>
        <v>0</v>
      </c>
      <c r="G26" s="133">
        <f>SUM('Page 10-6 yr Budget-detail'!G70)</f>
        <v>0</v>
      </c>
      <c r="H26" s="171"/>
    </row>
    <row r="27" spans="1:8" ht="12.75" customHeight="1">
      <c r="A27" s="221" t="s">
        <v>273</v>
      </c>
      <c r="B27" s="133">
        <f>SUM('Page 10-6 yr Budget-detail'!B69)</f>
        <v>30000</v>
      </c>
      <c r="C27" s="133">
        <f>SUM('Page 10-6 yr Budget-detail'!C69)</f>
        <v>0</v>
      </c>
      <c r="D27" s="133">
        <f>SUM('Page 10-6 yr Budget-detail'!D69)</f>
        <v>20000</v>
      </c>
      <c r="E27" s="133">
        <f>SUM('Page 10-6 yr Budget-detail'!E69)</f>
        <v>12000</v>
      </c>
      <c r="F27" s="133">
        <f>SUM('Page 10-6 yr Budget-detail'!F69)</f>
        <v>15000</v>
      </c>
      <c r="G27" s="133">
        <f>SUM('Page 10-6 yr Budget-detail'!G69)</f>
        <v>4416.3232128</v>
      </c>
      <c r="H27" s="171"/>
    </row>
    <row r="28" spans="1:8" ht="12.75" customHeight="1">
      <c r="A28" s="221" t="s">
        <v>274</v>
      </c>
      <c r="B28" s="133">
        <f>'Page 10-6 yr Budget-detail'!B72</f>
        <v>0</v>
      </c>
      <c r="C28" s="133">
        <f>'Page 10-6 yr Budget-detail'!C72</f>
        <v>5000</v>
      </c>
      <c r="D28" s="133">
        <f>'Page 10-6 yr Budget-detail'!D72</f>
        <v>10000</v>
      </c>
      <c r="E28" s="133">
        <f>'Page 10-6 yr Budget-detail'!E72</f>
        <v>10000</v>
      </c>
      <c r="F28" s="133">
        <f>'Page 10-6 yr Budget-detail'!F72</f>
        <v>5000</v>
      </c>
      <c r="G28" s="133">
        <f>'Page 10-6 yr Budget-detail'!G72</f>
        <v>5000</v>
      </c>
      <c r="H28" s="171"/>
    </row>
    <row r="29" spans="1:8" ht="12.75" customHeight="1">
      <c r="A29" s="221" t="s">
        <v>275</v>
      </c>
      <c r="B29" s="133">
        <f>'Page 10-6 yr Budget-detail'!B71+'Page 10-6 yr Budget-detail'!B74+'Page 10-6 yr Budget-detail'!B75+'Page 10-6 yr Budget-detail'!B76</f>
        <v>1500</v>
      </c>
      <c r="C29" s="133">
        <f>'Page 10-6 yr Budget-detail'!C71+'Page 10-6 yr Budget-detail'!C74+'Page 10-6 yr Budget-detail'!C75+'Page 10-6 yr Budget-detail'!C76</f>
        <v>18208</v>
      </c>
      <c r="D29" s="133">
        <f>'Page 10-6 yr Budget-detail'!D71+'Page 10-6 yr Budget-detail'!D74+'Page 10-6 yr Budget-detail'!D75+'Page 10-6 yr Budget-detail'!D76</f>
        <v>37007.529471599992</v>
      </c>
      <c r="E29" s="133">
        <f>'Page 10-6 yr Budget-detail'!E71+'Page 10-6 yr Budget-detail'!E74+'Page 10-6 yr Budget-detail'!E75+'Page 10-6 yr Budget-detail'!E76</f>
        <v>103614.90341327799</v>
      </c>
      <c r="F29" s="133">
        <f>'Page 10-6 yr Budget-detail'!F71+'Page 10-6 yr Budget-detail'!F74+'Page 10-6 yr Budget-detail'!F75+'Page 10-6 yr Budget-detail'!F76</f>
        <v>150277.43685297706</v>
      </c>
      <c r="G29" s="133">
        <f>'Page 10-6 yr Budget-detail'!G71+'Page 10-6 yr Budget-detail'!G74+'Page 10-6 yr Budget-detail'!G75+'Page 10-6 yr Budget-detail'!G76</f>
        <v>192517.00959791517</v>
      </c>
      <c r="H29" s="171"/>
    </row>
    <row r="30" spans="1:8" ht="12.75" customHeight="1">
      <c r="A30" s="223" t="s">
        <v>217</v>
      </c>
      <c r="B30" s="225">
        <f t="shared" ref="B30:G30" si="1">SUM(B18:B29)</f>
        <v>284888.625</v>
      </c>
      <c r="C30" s="226">
        <f t="shared" si="1"/>
        <v>965776.18119999988</v>
      </c>
      <c r="D30" s="226">
        <f t="shared" si="1"/>
        <v>1368133.0943795999</v>
      </c>
      <c r="E30" s="226">
        <f t="shared" si="1"/>
        <v>1938271.9436270781</v>
      </c>
      <c r="F30" s="226">
        <f t="shared" si="1"/>
        <v>2301492.7528896523</v>
      </c>
      <c r="G30" s="226">
        <f t="shared" si="1"/>
        <v>2700851.4119062298</v>
      </c>
      <c r="H30" s="171"/>
    </row>
    <row r="31" spans="1:8" ht="13.5" customHeight="1">
      <c r="A31" s="223" t="s">
        <v>218</v>
      </c>
      <c r="B31" s="133">
        <f t="shared" ref="B31:G31" si="2">B15-B30</f>
        <v>10111.375</v>
      </c>
      <c r="C31" s="329">
        <f t="shared" si="2"/>
        <v>39103.322800000082</v>
      </c>
      <c r="D31" s="329">
        <f t="shared" si="2"/>
        <v>83698.539200400002</v>
      </c>
      <c r="E31" s="329">
        <f t="shared" si="2"/>
        <v>53566.948815521551</v>
      </c>
      <c r="F31" s="329">
        <f t="shared" si="2"/>
        <v>46802.640434774105</v>
      </c>
      <c r="G31" s="329">
        <f t="shared" si="2"/>
        <v>6344.3080416489393</v>
      </c>
      <c r="H31" s="171"/>
    </row>
    <row r="32" spans="1:8" ht="6.75" customHeight="1">
      <c r="A32" s="224"/>
      <c r="B32" s="133"/>
      <c r="C32" s="329"/>
      <c r="D32" s="329"/>
      <c r="E32" s="329"/>
      <c r="F32" s="329"/>
      <c r="G32" s="329"/>
      <c r="H32" s="171"/>
    </row>
    <row r="33" spans="1:8" ht="13.5" customHeight="1">
      <c r="A33" s="223" t="s">
        <v>276</v>
      </c>
      <c r="B33" s="133">
        <f>'Page 4-Year 0'!D79</f>
        <v>0</v>
      </c>
      <c r="C33" s="329">
        <f>'Page 5-Year 1'!E81</f>
        <v>0</v>
      </c>
      <c r="D33" s="133">
        <f>'Page 6-Year 2'!E81</f>
        <v>0</v>
      </c>
      <c r="E33" s="133">
        <f>'Page 7-Year 3'!E81</f>
        <v>0</v>
      </c>
      <c r="F33" s="133">
        <f>'Page 8-Year 4'!E81</f>
        <v>0</v>
      </c>
      <c r="G33" s="133">
        <f>'Page 9-Year 5'!E81</f>
        <v>0</v>
      </c>
      <c r="H33" s="171"/>
    </row>
    <row r="34" spans="1:8" ht="13.5" customHeight="1">
      <c r="A34" s="227"/>
      <c r="B34" s="329"/>
      <c r="C34" s="329"/>
      <c r="D34" s="133"/>
      <c r="E34" s="133"/>
      <c r="F34" s="133"/>
      <c r="G34" s="133"/>
      <c r="H34" s="171"/>
    </row>
    <row r="35" spans="1:8" ht="13.5" hidden="1" customHeight="1">
      <c r="A35" s="227"/>
      <c r="B35" s="222"/>
      <c r="C35" s="222"/>
      <c r="D35" s="222"/>
      <c r="E35" s="222"/>
      <c r="F35" s="222"/>
      <c r="G35" s="222"/>
      <c r="H35" s="171"/>
    </row>
    <row r="36" spans="1:8" ht="12.75" customHeight="1">
      <c r="A36" s="228" t="s">
        <v>220</v>
      </c>
      <c r="B36" s="229">
        <f t="shared" ref="B36:G36" si="3">B31+B33</f>
        <v>10111.375</v>
      </c>
      <c r="C36" s="229">
        <f t="shared" si="3"/>
        <v>39103.322800000082</v>
      </c>
      <c r="D36" s="229">
        <f t="shared" si="3"/>
        <v>83698.539200400002</v>
      </c>
      <c r="E36" s="229">
        <f t="shared" si="3"/>
        <v>53566.948815521551</v>
      </c>
      <c r="F36" s="229">
        <f t="shared" si="3"/>
        <v>46802.640434774105</v>
      </c>
      <c r="G36" s="229">
        <f t="shared" si="3"/>
        <v>6344.3080416489393</v>
      </c>
      <c r="H36" s="171"/>
    </row>
    <row r="37" spans="1:8" ht="12.75" customHeight="1">
      <c r="A37" s="228"/>
      <c r="B37" s="385"/>
      <c r="C37" s="385"/>
      <c r="D37" s="385"/>
      <c r="E37" s="385"/>
      <c r="F37" s="385"/>
      <c r="G37" s="385"/>
      <c r="H37" s="171"/>
    </row>
    <row r="38" spans="1:8" ht="3" customHeight="1">
      <c r="A38" s="228"/>
      <c r="B38" s="385"/>
      <c r="C38" s="385"/>
      <c r="D38" s="385"/>
      <c r="E38" s="385"/>
      <c r="F38" s="385"/>
      <c r="G38" s="385"/>
      <c r="H38" s="171"/>
    </row>
    <row r="39" spans="1:8" ht="12.75" customHeight="1">
      <c r="A39" s="200" t="s">
        <v>221</v>
      </c>
      <c r="B39" s="385">
        <f>'Page 10-6 yr Budget-detail'!B87</f>
        <v>0</v>
      </c>
      <c r="C39" s="385">
        <f>'Page 10-6 yr Budget-detail'!C87</f>
        <v>10111.375</v>
      </c>
      <c r="D39" s="385">
        <f>'Page 10-6 yr Budget-detail'!D87</f>
        <v>39247.667720000143</v>
      </c>
      <c r="E39" s="385">
        <f>'Page 10-6 yr Budget-detail'!E87</f>
        <v>122946.20692039991</v>
      </c>
      <c r="F39" s="385">
        <f>'Page 10-6 yr Budget-detail'!F87</f>
        <v>176513.15573592146</v>
      </c>
      <c r="G39" s="385">
        <f>'Page 10-6 yr Budget-detail'!G87</f>
        <v>223315.79617069557</v>
      </c>
      <c r="H39" s="171"/>
    </row>
    <row r="40" spans="1:8" ht="3" customHeight="1">
      <c r="A40" s="200"/>
      <c r="B40" s="385"/>
      <c r="C40" s="385"/>
      <c r="D40" s="385"/>
      <c r="E40" s="385"/>
      <c r="F40" s="385"/>
      <c r="G40" s="385"/>
      <c r="H40" s="171"/>
    </row>
    <row r="41" spans="1:8" ht="12.75" customHeight="1">
      <c r="A41" s="200" t="s">
        <v>222</v>
      </c>
      <c r="B41" s="385">
        <f>'Page 10-6 yr Budget-detail'!B89</f>
        <v>10111.375</v>
      </c>
      <c r="C41" s="385">
        <f>'Page 10-6 yr Budget-detail'!C89</f>
        <v>39247.667720000143</v>
      </c>
      <c r="D41" s="385">
        <f>'Page 10-6 yr Budget-detail'!D89</f>
        <v>122946.20692039991</v>
      </c>
      <c r="E41" s="385">
        <f>'Page 10-6 yr Budget-detail'!E89</f>
        <v>176513.15573592146</v>
      </c>
      <c r="F41" s="385">
        <f>'Page 10-6 yr Budget-detail'!F89</f>
        <v>223315.79617069557</v>
      </c>
      <c r="G41" s="385">
        <f>'Page 10-6 yr Budget-detail'!G89</f>
        <v>229660.10421234497</v>
      </c>
      <c r="H41" s="171"/>
    </row>
    <row r="42" spans="1:8" ht="12.75" customHeight="1">
      <c r="A42" s="227" t="s">
        <v>223</v>
      </c>
      <c r="B42" s="386">
        <f>'Page 10-6 yr Budget-detail'!B90</f>
        <v>8546.6587500000005</v>
      </c>
      <c r="C42" s="386">
        <f>'Page 10-6 yr Budget-detail'!C90</f>
        <v>35733.456338399992</v>
      </c>
      <c r="D42" s="386">
        <f>'Page 10-6 yr Budget-detail'!D90</f>
        <v>49745.338031387997</v>
      </c>
      <c r="E42" s="386">
        <f>'Page 10-6 yr Budget-detail'!E90</f>
        <v>71352.894948812347</v>
      </c>
      <c r="F42" s="386">
        <f>'Page 10-6 yr Budget-detail'!F90</f>
        <v>83623.998426689563</v>
      </c>
      <c r="G42" s="386">
        <f>'Page 10-6 yr Budget-detail'!G90</f>
        <v>98472.927957186883</v>
      </c>
      <c r="H42" s="171"/>
    </row>
    <row r="43" spans="1:8" ht="12.75" customHeight="1">
      <c r="A43" s="227" t="s">
        <v>224</v>
      </c>
      <c r="B43" s="386">
        <f>'Page 10-6 yr Budget-detail'!B91</f>
        <v>1564.7162499999995</v>
      </c>
      <c r="C43" s="386">
        <f>'Page 10-6 yr Budget-detail'!C91</f>
        <v>3514.2113816001511</v>
      </c>
      <c r="D43" s="386">
        <f>'Page 10-6 yr Budget-detail'!D91</f>
        <v>73200.868889011908</v>
      </c>
      <c r="E43" s="386">
        <f>'Page 10-6 yr Budget-detail'!E91</f>
        <v>105160.26078710912</v>
      </c>
      <c r="F43" s="386">
        <f>'Page 10-6 yr Budget-detail'!F91</f>
        <v>139691.79774400601</v>
      </c>
      <c r="G43" s="386">
        <f>'Page 10-6 yr Budget-detail'!G91</f>
        <v>131187.17625515809</v>
      </c>
      <c r="H43" s="171"/>
    </row>
    <row r="44" spans="1:8" ht="12.75" customHeight="1">
      <c r="A44" s="387" t="s">
        <v>225</v>
      </c>
      <c r="B44" s="230">
        <f>IFERROR('Page 10-6 yr Budget-detail'!B92,"N/A")</f>
        <v>5.4923788199686789E-3</v>
      </c>
      <c r="C44" s="230">
        <f>'Page 10-6 yr Budget-detail'!C92</f>
        <v>3.6637809095755639E-3</v>
      </c>
      <c r="D44" s="230">
        <f>'Page 10-6 yr Budget-detail'!D92</f>
        <v>5.3504201593928928E-2</v>
      </c>
      <c r="E44" s="230">
        <f>'Page 10-6 yr Budget-detail'!E92</f>
        <v>5.4254647358885709E-2</v>
      </c>
      <c r="F44" s="230">
        <f>'Page 10-6 yr Budget-detail'!F92</f>
        <v>6.0696171025789752E-2</v>
      </c>
      <c r="G44" s="230">
        <f>'Page 10-6 yr Budget-detail'!G92</f>
        <v>4.857252630664629E-2</v>
      </c>
      <c r="H44" s="231"/>
    </row>
    <row r="45" spans="1:8" ht="12.75" customHeight="1"/>
  </sheetData>
  <printOptions horizontalCentered="1"/>
  <pageMargins left="0.17013888888888901" right="0.17013888888888901" top="0.45" bottom="0.15972222222222199"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1000"/>
  <sheetViews>
    <sheetView workbookViewId="0"/>
  </sheetViews>
  <sheetFormatPr defaultColWidth="12.5703125" defaultRowHeight="15" customHeight="1"/>
  <cols>
    <col min="1" max="1" width="52" customWidth="1"/>
    <col min="2" max="6" width="11.42578125" customWidth="1"/>
    <col min="7" max="24" width="8.5703125" customWidth="1"/>
    <col min="25" max="26" width="8.85546875" customWidth="1"/>
  </cols>
  <sheetData>
    <row r="1" spans="1:24" ht="12.75" customHeight="1">
      <c r="A1" s="31" t="s">
        <v>277</v>
      </c>
      <c r="B1" s="232" t="s">
        <v>278</v>
      </c>
      <c r="C1" s="232" t="s">
        <v>279</v>
      </c>
      <c r="D1" s="232" t="s">
        <v>280</v>
      </c>
      <c r="E1" s="105"/>
      <c r="F1" s="4"/>
      <c r="G1" s="4"/>
      <c r="H1" s="4"/>
      <c r="I1" s="4"/>
      <c r="J1" s="4"/>
      <c r="K1" s="4"/>
      <c r="L1" s="4"/>
      <c r="M1" s="4"/>
      <c r="N1" s="4"/>
      <c r="O1" s="4"/>
      <c r="P1" s="4"/>
      <c r="Q1" s="4"/>
      <c r="R1" s="4"/>
      <c r="S1" s="4"/>
      <c r="T1" s="4"/>
      <c r="U1" s="4"/>
      <c r="V1" s="4"/>
      <c r="W1" s="4"/>
      <c r="X1" s="4"/>
    </row>
    <row r="2" spans="1:24" ht="12.75" customHeight="1">
      <c r="A2" s="233" t="s">
        <v>281</v>
      </c>
      <c r="B2" s="105"/>
      <c r="C2" s="105"/>
      <c r="D2" s="105"/>
      <c r="E2" s="105"/>
      <c r="F2" s="4"/>
      <c r="G2" s="4"/>
      <c r="H2" s="4"/>
      <c r="I2" s="4"/>
      <c r="J2" s="4"/>
      <c r="K2" s="4"/>
      <c r="L2" s="4"/>
      <c r="M2" s="4"/>
      <c r="N2" s="4"/>
      <c r="O2" s="4"/>
      <c r="P2" s="4"/>
      <c r="Q2" s="4"/>
      <c r="R2" s="4"/>
      <c r="S2" s="4"/>
      <c r="T2" s="4"/>
      <c r="U2" s="4"/>
      <c r="V2" s="4"/>
      <c r="W2" s="4"/>
      <c r="X2" s="4"/>
    </row>
    <row r="3" spans="1:24" ht="12.75" customHeight="1">
      <c r="A3" s="4"/>
      <c r="B3" s="105"/>
      <c r="C3" s="105"/>
      <c r="D3" s="105"/>
      <c r="E3" s="105"/>
      <c r="F3" s="4"/>
      <c r="G3" s="4"/>
      <c r="H3" s="4"/>
      <c r="I3" s="4"/>
      <c r="J3" s="4"/>
      <c r="K3" s="4"/>
      <c r="L3" s="4"/>
      <c r="M3" s="4"/>
      <c r="N3" s="4"/>
      <c r="O3" s="4"/>
      <c r="P3" s="4"/>
      <c r="Q3" s="4"/>
      <c r="R3" s="4"/>
      <c r="S3" s="4"/>
      <c r="T3" s="4"/>
      <c r="U3" s="4"/>
      <c r="V3" s="4"/>
      <c r="W3" s="4"/>
      <c r="X3" s="4"/>
    </row>
    <row r="4" spans="1:24" ht="12.75" customHeight="1">
      <c r="A4" s="31" t="s">
        <v>174</v>
      </c>
      <c r="B4" s="388"/>
      <c r="C4" s="388"/>
      <c r="D4" s="388"/>
      <c r="E4" s="234"/>
      <c r="F4" s="31"/>
      <c r="G4" s="31"/>
      <c r="H4" s="31"/>
      <c r="I4" s="31"/>
      <c r="J4" s="31"/>
      <c r="K4" s="31"/>
      <c r="L4" s="31"/>
      <c r="M4" s="31"/>
      <c r="N4" s="31"/>
      <c r="O4" s="31"/>
      <c r="P4" s="31"/>
      <c r="Q4" s="31"/>
      <c r="R4" s="31"/>
      <c r="S4" s="31"/>
      <c r="T4" s="31"/>
      <c r="U4" s="31"/>
      <c r="V4" s="31"/>
      <c r="W4" s="31"/>
      <c r="X4" s="31"/>
    </row>
    <row r="5" spans="1:24" ht="12.75" customHeight="1">
      <c r="A5" s="4"/>
      <c r="B5" s="105"/>
      <c r="C5" s="105"/>
      <c r="D5" s="105"/>
      <c r="E5" s="105"/>
      <c r="F5" s="4"/>
      <c r="G5" s="4"/>
      <c r="H5" s="4"/>
      <c r="I5" s="4"/>
      <c r="J5" s="4"/>
      <c r="K5" s="4"/>
      <c r="L5" s="4"/>
      <c r="M5" s="4"/>
      <c r="N5" s="4"/>
      <c r="O5" s="4"/>
      <c r="P5" s="4"/>
      <c r="Q5" s="4"/>
      <c r="R5" s="4"/>
      <c r="S5" s="4"/>
      <c r="T5" s="4"/>
      <c r="U5" s="4"/>
      <c r="V5" s="4"/>
      <c r="W5" s="4"/>
      <c r="X5" s="4"/>
    </row>
    <row r="6" spans="1:24" ht="12.75" customHeight="1">
      <c r="A6" s="233" t="s">
        <v>282</v>
      </c>
      <c r="B6" s="389"/>
      <c r="C6" s="389"/>
      <c r="D6" s="389"/>
      <c r="E6" s="105"/>
      <c r="F6" s="4"/>
      <c r="G6" s="4"/>
      <c r="H6" s="4"/>
      <c r="I6" s="4"/>
      <c r="J6" s="4"/>
      <c r="K6" s="4"/>
      <c r="L6" s="4"/>
      <c r="M6" s="4"/>
      <c r="N6" s="4"/>
      <c r="O6" s="4"/>
      <c r="P6" s="4"/>
      <c r="Q6" s="4"/>
      <c r="R6" s="4"/>
      <c r="S6" s="4"/>
      <c r="T6" s="4"/>
      <c r="U6" s="4"/>
      <c r="V6" s="4"/>
      <c r="W6" s="4"/>
      <c r="X6" s="4"/>
    </row>
    <row r="7" spans="1:24" ht="12.75" customHeight="1">
      <c r="A7" s="233" t="s">
        <v>283</v>
      </c>
      <c r="B7" s="389"/>
      <c r="C7" s="389"/>
      <c r="D7" s="389"/>
      <c r="E7" s="105"/>
      <c r="F7" s="4"/>
      <c r="G7" s="4"/>
      <c r="H7" s="4"/>
      <c r="I7" s="4"/>
      <c r="J7" s="4"/>
      <c r="K7" s="4"/>
      <c r="L7" s="4"/>
      <c r="M7" s="4"/>
      <c r="N7" s="4"/>
      <c r="O7" s="4"/>
      <c r="P7" s="4"/>
      <c r="Q7" s="4"/>
      <c r="R7" s="4"/>
      <c r="S7" s="4"/>
      <c r="T7" s="4"/>
      <c r="U7" s="4"/>
      <c r="V7" s="4"/>
      <c r="W7" s="4"/>
      <c r="X7" s="4"/>
    </row>
    <row r="8" spans="1:24" ht="12.75" customHeight="1">
      <c r="A8" s="233" t="s">
        <v>284</v>
      </c>
      <c r="B8" s="389"/>
      <c r="C8" s="389"/>
      <c r="D8" s="389"/>
      <c r="E8" s="105"/>
      <c r="F8" s="4"/>
      <c r="G8" s="4"/>
      <c r="H8" s="4"/>
      <c r="I8" s="4"/>
      <c r="J8" s="4"/>
      <c r="K8" s="4"/>
      <c r="L8" s="4"/>
      <c r="M8" s="4"/>
      <c r="N8" s="4"/>
      <c r="O8" s="4"/>
      <c r="P8" s="4"/>
      <c r="Q8" s="4"/>
      <c r="R8" s="4"/>
      <c r="S8" s="4"/>
      <c r="T8" s="4"/>
      <c r="U8" s="4"/>
      <c r="V8" s="4"/>
      <c r="W8" s="4"/>
      <c r="X8" s="4"/>
    </row>
    <row r="9" spans="1:24" ht="12.75" customHeight="1">
      <c r="A9" s="233" t="s">
        <v>285</v>
      </c>
      <c r="B9" s="389"/>
      <c r="C9" s="389"/>
      <c r="D9" s="389"/>
      <c r="E9" s="105"/>
      <c r="F9" s="4"/>
      <c r="G9" s="4"/>
      <c r="H9" s="4"/>
      <c r="I9" s="4"/>
      <c r="J9" s="4"/>
      <c r="K9" s="4"/>
      <c r="L9" s="4"/>
      <c r="M9" s="4"/>
      <c r="N9" s="4"/>
      <c r="O9" s="4"/>
      <c r="P9" s="4"/>
      <c r="Q9" s="4"/>
      <c r="R9" s="4"/>
      <c r="S9" s="4"/>
      <c r="T9" s="4"/>
      <c r="U9" s="4"/>
      <c r="V9" s="4"/>
      <c r="W9" s="4"/>
      <c r="X9" s="4"/>
    </row>
    <row r="10" spans="1:24" ht="12.75" customHeight="1">
      <c r="A10" s="233" t="s">
        <v>286</v>
      </c>
      <c r="B10" s="389"/>
      <c r="C10" s="389"/>
      <c r="D10" s="389"/>
      <c r="E10" s="105"/>
      <c r="F10" s="4"/>
      <c r="G10" s="4"/>
      <c r="H10" s="4"/>
      <c r="I10" s="4"/>
      <c r="J10" s="4"/>
      <c r="K10" s="4"/>
      <c r="L10" s="4"/>
      <c r="M10" s="4"/>
      <c r="N10" s="4"/>
      <c r="O10" s="4"/>
      <c r="P10" s="4"/>
      <c r="Q10" s="4"/>
      <c r="R10" s="4"/>
      <c r="S10" s="4"/>
      <c r="T10" s="4"/>
      <c r="U10" s="4"/>
      <c r="V10" s="4"/>
      <c r="W10" s="4"/>
      <c r="X10" s="4"/>
    </row>
    <row r="11" spans="1:24" ht="12.75" customHeight="1">
      <c r="A11" s="233" t="s">
        <v>287</v>
      </c>
      <c r="B11" s="389"/>
      <c r="C11" s="389"/>
      <c r="D11" s="389"/>
      <c r="E11" s="105"/>
      <c r="F11" s="4"/>
      <c r="G11" s="4"/>
      <c r="H11" s="4"/>
      <c r="I11" s="4"/>
      <c r="J11" s="4"/>
      <c r="K11" s="4"/>
      <c r="L11" s="4"/>
      <c r="M11" s="4"/>
      <c r="N11" s="4"/>
      <c r="O11" s="4"/>
      <c r="P11" s="4"/>
      <c r="Q11" s="4"/>
      <c r="R11" s="4"/>
      <c r="S11" s="4"/>
      <c r="T11" s="4"/>
      <c r="U11" s="4"/>
      <c r="V11" s="4"/>
      <c r="W11" s="4"/>
      <c r="X11" s="4"/>
    </row>
    <row r="12" spans="1:24" ht="12.75" customHeight="1">
      <c r="A12" s="233" t="s">
        <v>288</v>
      </c>
      <c r="B12" s="389"/>
      <c r="C12" s="389"/>
      <c r="D12" s="389"/>
      <c r="E12" s="105"/>
      <c r="F12" s="4"/>
      <c r="G12" s="4"/>
      <c r="H12" s="4"/>
      <c r="I12" s="4"/>
      <c r="J12" s="4"/>
      <c r="K12" s="4"/>
      <c r="L12" s="4"/>
      <c r="M12" s="4"/>
      <c r="N12" s="4"/>
      <c r="O12" s="4"/>
      <c r="P12" s="4"/>
      <c r="Q12" s="4"/>
      <c r="R12" s="4"/>
      <c r="S12" s="4"/>
      <c r="T12" s="4"/>
      <c r="U12" s="4"/>
      <c r="V12" s="4"/>
      <c r="W12" s="4"/>
      <c r="X12" s="4"/>
    </row>
    <row r="13" spans="1:24" ht="12.75" customHeight="1">
      <c r="A13" s="233" t="s">
        <v>289</v>
      </c>
      <c r="B13" s="389"/>
      <c r="C13" s="389"/>
      <c r="D13" s="389"/>
      <c r="E13" s="105"/>
      <c r="F13" s="4"/>
      <c r="G13" s="4"/>
      <c r="H13" s="4"/>
      <c r="I13" s="4"/>
      <c r="J13" s="4"/>
      <c r="K13" s="4"/>
      <c r="L13" s="4"/>
      <c r="M13" s="4"/>
      <c r="N13" s="4"/>
      <c r="O13" s="4"/>
      <c r="P13" s="4"/>
      <c r="Q13" s="4"/>
      <c r="R13" s="4"/>
      <c r="S13" s="4"/>
      <c r="T13" s="4"/>
      <c r="U13" s="4"/>
      <c r="V13" s="4"/>
      <c r="W13" s="4"/>
      <c r="X13" s="4"/>
    </row>
    <row r="14" spans="1:24" ht="12.75" customHeight="1">
      <c r="A14" s="233" t="s">
        <v>290</v>
      </c>
      <c r="B14" s="389"/>
      <c r="C14" s="389"/>
      <c r="D14" s="389"/>
      <c r="E14" s="105"/>
      <c r="F14" s="4"/>
      <c r="G14" s="4"/>
      <c r="H14" s="4"/>
      <c r="I14" s="4"/>
      <c r="J14" s="4"/>
      <c r="K14" s="4"/>
      <c r="L14" s="4"/>
      <c r="M14" s="4"/>
      <c r="N14" s="4"/>
      <c r="O14" s="4"/>
      <c r="P14" s="4"/>
      <c r="Q14" s="4"/>
      <c r="R14" s="4"/>
      <c r="S14" s="4"/>
      <c r="T14" s="4"/>
      <c r="U14" s="4"/>
      <c r="V14" s="4"/>
      <c r="W14" s="4"/>
      <c r="X14" s="4"/>
    </row>
    <row r="15" spans="1:24" ht="12.75" customHeight="1">
      <c r="A15" s="233" t="s">
        <v>291</v>
      </c>
      <c r="B15" s="389"/>
      <c r="C15" s="389"/>
      <c r="D15" s="389"/>
      <c r="E15" s="105"/>
      <c r="F15" s="4"/>
      <c r="G15" s="4"/>
      <c r="H15" s="4"/>
      <c r="I15" s="4"/>
      <c r="J15" s="4"/>
      <c r="K15" s="4"/>
      <c r="L15" s="4"/>
      <c r="M15" s="4"/>
      <c r="N15" s="4"/>
      <c r="O15" s="4"/>
      <c r="P15" s="4"/>
      <c r="Q15" s="4"/>
      <c r="R15" s="4"/>
      <c r="S15" s="4"/>
      <c r="T15" s="4"/>
      <c r="U15" s="4"/>
      <c r="V15" s="4"/>
      <c r="W15" s="4"/>
      <c r="X15" s="4"/>
    </row>
    <row r="16" spans="1:24" ht="12.75" customHeight="1">
      <c r="A16" s="233" t="s">
        <v>292</v>
      </c>
      <c r="B16" s="389"/>
      <c r="C16" s="389"/>
      <c r="D16" s="389"/>
      <c r="E16" s="105"/>
      <c r="F16" s="4"/>
      <c r="G16" s="4"/>
      <c r="H16" s="4"/>
      <c r="I16" s="4"/>
      <c r="J16" s="4"/>
      <c r="K16" s="4"/>
      <c r="L16" s="4"/>
      <c r="M16" s="4"/>
      <c r="N16" s="4"/>
      <c r="O16" s="4"/>
      <c r="P16" s="4"/>
      <c r="Q16" s="4"/>
      <c r="R16" s="4"/>
      <c r="S16" s="4"/>
      <c r="T16" s="4"/>
      <c r="U16" s="4"/>
      <c r="V16" s="4"/>
      <c r="W16" s="4"/>
      <c r="X16" s="4"/>
    </row>
    <row r="17" spans="1:24" ht="12.75" customHeight="1">
      <c r="A17" s="233" t="s">
        <v>293</v>
      </c>
      <c r="B17" s="389"/>
      <c r="C17" s="389"/>
      <c r="D17" s="389"/>
      <c r="E17" s="105"/>
      <c r="F17" s="4"/>
      <c r="G17" s="4"/>
      <c r="H17" s="4"/>
      <c r="I17" s="4"/>
      <c r="J17" s="4"/>
      <c r="K17" s="4"/>
      <c r="L17" s="4"/>
      <c r="M17" s="4"/>
      <c r="N17" s="4"/>
      <c r="O17" s="4"/>
      <c r="P17" s="4"/>
      <c r="Q17" s="4"/>
      <c r="R17" s="4"/>
      <c r="S17" s="4"/>
      <c r="T17" s="4"/>
      <c r="U17" s="4"/>
      <c r="V17" s="4"/>
      <c r="W17" s="4"/>
      <c r="X17" s="4"/>
    </row>
    <row r="18" spans="1:24" ht="12.75" customHeight="1">
      <c r="A18" s="233" t="s">
        <v>294</v>
      </c>
      <c r="B18" s="389"/>
      <c r="C18" s="389"/>
      <c r="D18" s="389"/>
      <c r="E18" s="105"/>
      <c r="F18" s="4"/>
      <c r="G18" s="4"/>
      <c r="H18" s="4"/>
      <c r="I18" s="4"/>
      <c r="J18" s="4"/>
      <c r="K18" s="4"/>
      <c r="L18" s="4"/>
      <c r="M18" s="4"/>
      <c r="N18" s="4"/>
      <c r="O18" s="4"/>
      <c r="P18" s="4"/>
      <c r="Q18" s="4"/>
      <c r="R18" s="4"/>
      <c r="S18" s="4"/>
      <c r="T18" s="4"/>
      <c r="U18" s="4"/>
      <c r="V18" s="4"/>
      <c r="W18" s="4"/>
      <c r="X18" s="4"/>
    </row>
    <row r="19" spans="1:24" ht="12.75" customHeight="1">
      <c r="A19" s="233" t="s">
        <v>295</v>
      </c>
      <c r="B19" s="389"/>
      <c r="C19" s="389"/>
      <c r="D19" s="389"/>
      <c r="E19" s="105"/>
      <c r="F19" s="4"/>
      <c r="G19" s="4"/>
      <c r="H19" s="4"/>
      <c r="I19" s="4"/>
      <c r="J19" s="4"/>
      <c r="K19" s="4"/>
      <c r="L19" s="4"/>
      <c r="M19" s="4"/>
      <c r="N19" s="4"/>
      <c r="O19" s="4"/>
      <c r="P19" s="4"/>
      <c r="Q19" s="4"/>
      <c r="R19" s="4"/>
      <c r="S19" s="4"/>
      <c r="T19" s="4"/>
      <c r="U19" s="4"/>
      <c r="V19" s="4"/>
      <c r="W19" s="4"/>
      <c r="X19" s="4"/>
    </row>
    <row r="20" spans="1:24" ht="12.75" customHeight="1">
      <c r="A20" s="233" t="s">
        <v>296</v>
      </c>
      <c r="B20" s="389"/>
      <c r="C20" s="389"/>
      <c r="D20" s="389"/>
      <c r="E20" s="105"/>
      <c r="F20" s="4"/>
      <c r="G20" s="4"/>
      <c r="H20" s="4"/>
      <c r="I20" s="4"/>
      <c r="J20" s="4"/>
      <c r="K20" s="4"/>
      <c r="L20" s="4"/>
      <c r="M20" s="4"/>
      <c r="N20" s="4"/>
      <c r="O20" s="4"/>
      <c r="P20" s="4"/>
      <c r="Q20" s="4"/>
      <c r="R20" s="4"/>
      <c r="S20" s="4"/>
      <c r="T20" s="4"/>
      <c r="U20" s="4"/>
      <c r="V20" s="4"/>
      <c r="W20" s="4"/>
      <c r="X20" s="4"/>
    </row>
    <row r="21" spans="1:24" ht="12.75" customHeight="1">
      <c r="A21" s="233" t="s">
        <v>297</v>
      </c>
      <c r="B21" s="389"/>
      <c r="C21" s="389"/>
      <c r="D21" s="389"/>
      <c r="E21" s="105"/>
      <c r="F21" s="4"/>
      <c r="G21" s="4"/>
      <c r="H21" s="4"/>
      <c r="I21" s="4"/>
      <c r="J21" s="4"/>
      <c r="K21" s="4"/>
      <c r="L21" s="4"/>
      <c r="M21" s="4"/>
      <c r="N21" s="4"/>
      <c r="O21" s="4"/>
      <c r="P21" s="4"/>
      <c r="Q21" s="4"/>
      <c r="R21" s="4"/>
      <c r="S21" s="4"/>
      <c r="T21" s="4"/>
      <c r="U21" s="4"/>
      <c r="V21" s="4"/>
      <c r="W21" s="4"/>
      <c r="X21" s="4"/>
    </row>
    <row r="22" spans="1:24" ht="12.75" customHeight="1">
      <c r="A22" s="4" t="s">
        <v>298</v>
      </c>
      <c r="B22" s="389"/>
      <c r="C22" s="389"/>
      <c r="D22" s="389"/>
      <c r="E22" s="105"/>
      <c r="F22" s="4"/>
      <c r="G22" s="4"/>
      <c r="H22" s="4"/>
      <c r="I22" s="4"/>
      <c r="J22" s="4"/>
      <c r="K22" s="4"/>
      <c r="L22" s="4"/>
      <c r="M22" s="4"/>
      <c r="N22" s="4"/>
      <c r="O22" s="4"/>
      <c r="P22" s="4"/>
      <c r="Q22" s="4"/>
      <c r="R22" s="4"/>
      <c r="S22" s="4"/>
      <c r="T22" s="4"/>
      <c r="U22" s="4"/>
      <c r="V22" s="4"/>
      <c r="W22" s="4"/>
      <c r="X22" s="4"/>
    </row>
    <row r="23" spans="1:24" ht="12.75" customHeight="1">
      <c r="A23" s="4"/>
      <c r="B23" s="389"/>
      <c r="C23" s="389"/>
      <c r="D23" s="389"/>
      <c r="E23" s="105"/>
      <c r="F23" s="4"/>
      <c r="G23" s="4"/>
      <c r="H23" s="4"/>
      <c r="I23" s="4"/>
      <c r="J23" s="4"/>
      <c r="K23" s="4"/>
      <c r="L23" s="4"/>
      <c r="M23" s="4"/>
      <c r="N23" s="4"/>
      <c r="O23" s="4"/>
      <c r="P23" s="4"/>
      <c r="Q23" s="4"/>
      <c r="R23" s="4"/>
      <c r="S23" s="4"/>
      <c r="T23" s="4"/>
      <c r="U23" s="4"/>
      <c r="V23" s="4"/>
      <c r="W23" s="4"/>
      <c r="X23" s="4"/>
    </row>
    <row r="24" spans="1:24" ht="12.75" customHeight="1">
      <c r="A24" s="4"/>
      <c r="B24" s="389"/>
      <c r="C24" s="389"/>
      <c r="D24" s="389"/>
      <c r="E24" s="105"/>
      <c r="F24" s="4"/>
      <c r="G24" s="4"/>
      <c r="H24" s="4"/>
      <c r="I24" s="4"/>
      <c r="J24" s="4"/>
      <c r="K24" s="4"/>
      <c r="L24" s="4"/>
      <c r="M24" s="4"/>
      <c r="N24" s="4"/>
      <c r="O24" s="4"/>
      <c r="P24" s="4"/>
      <c r="Q24" s="4"/>
      <c r="R24" s="4"/>
      <c r="S24" s="4"/>
      <c r="T24" s="4"/>
      <c r="U24" s="4"/>
      <c r="V24" s="4"/>
      <c r="W24" s="4"/>
      <c r="X24" s="4"/>
    </row>
    <row r="25" spans="1:24" ht="12.75" customHeight="1">
      <c r="A25" s="4"/>
      <c r="B25" s="389"/>
      <c r="C25" s="389"/>
      <c r="D25" s="389"/>
      <c r="E25" s="105"/>
      <c r="F25" s="4"/>
      <c r="G25" s="4"/>
      <c r="H25" s="4"/>
      <c r="I25" s="4"/>
      <c r="J25" s="4"/>
      <c r="K25" s="4"/>
      <c r="L25" s="4"/>
      <c r="M25" s="4"/>
      <c r="N25" s="4"/>
      <c r="O25" s="4"/>
      <c r="P25" s="4"/>
      <c r="Q25" s="4"/>
      <c r="R25" s="4"/>
      <c r="S25" s="4"/>
      <c r="T25" s="4"/>
      <c r="U25" s="4"/>
      <c r="V25" s="4"/>
      <c r="W25" s="4"/>
      <c r="X25" s="4"/>
    </row>
    <row r="26" spans="1:24" ht="12.75" customHeight="1">
      <c r="A26" s="4"/>
      <c r="B26" s="389"/>
      <c r="C26" s="389"/>
      <c r="D26" s="389"/>
      <c r="E26" s="105"/>
      <c r="F26" s="4"/>
      <c r="G26" s="4"/>
      <c r="H26" s="4"/>
      <c r="I26" s="4"/>
      <c r="J26" s="4"/>
      <c r="K26" s="4"/>
      <c r="L26" s="4"/>
      <c r="M26" s="4"/>
      <c r="N26" s="4"/>
      <c r="O26" s="4"/>
      <c r="P26" s="4"/>
      <c r="Q26" s="4"/>
      <c r="R26" s="4"/>
      <c r="S26" s="4"/>
      <c r="T26" s="4"/>
      <c r="U26" s="4"/>
      <c r="V26" s="4"/>
      <c r="W26" s="4"/>
      <c r="X26" s="4"/>
    </row>
    <row r="27" spans="1:24" ht="12.75" customHeight="1">
      <c r="A27" s="4"/>
      <c r="B27" s="389"/>
      <c r="C27" s="389"/>
      <c r="D27" s="389"/>
      <c r="E27" s="105"/>
      <c r="F27" s="4"/>
      <c r="G27" s="4"/>
      <c r="H27" s="4"/>
      <c r="I27" s="4"/>
      <c r="J27" s="4"/>
      <c r="K27" s="4"/>
      <c r="L27" s="4"/>
      <c r="M27" s="4"/>
      <c r="N27" s="4"/>
      <c r="O27" s="4"/>
      <c r="P27" s="4"/>
      <c r="Q27" s="4"/>
      <c r="R27" s="4"/>
      <c r="S27" s="4"/>
      <c r="T27" s="4"/>
      <c r="U27" s="4"/>
      <c r="V27" s="4"/>
      <c r="W27" s="4"/>
      <c r="X27" s="4"/>
    </row>
    <row r="28" spans="1:24" ht="12.75" customHeight="1">
      <c r="A28" s="4"/>
      <c r="B28" s="389"/>
      <c r="C28" s="389"/>
      <c r="D28" s="389"/>
      <c r="E28" s="105"/>
      <c r="F28" s="4"/>
      <c r="G28" s="4"/>
      <c r="H28" s="4"/>
      <c r="I28" s="4"/>
      <c r="J28" s="4"/>
      <c r="K28" s="4"/>
      <c r="L28" s="4"/>
      <c r="M28" s="4"/>
      <c r="N28" s="4"/>
      <c r="O28" s="4"/>
      <c r="P28" s="4"/>
      <c r="Q28" s="4"/>
      <c r="R28" s="4"/>
      <c r="S28" s="4"/>
      <c r="T28" s="4"/>
      <c r="U28" s="4"/>
      <c r="V28" s="4"/>
      <c r="W28" s="4"/>
      <c r="X28" s="4"/>
    </row>
    <row r="29" spans="1:24" ht="12.75" customHeight="1">
      <c r="A29" s="4"/>
      <c r="B29" s="389"/>
      <c r="C29" s="389"/>
      <c r="D29" s="389"/>
      <c r="E29" s="105"/>
      <c r="F29" s="4"/>
      <c r="G29" s="4"/>
      <c r="H29" s="4"/>
      <c r="I29" s="4"/>
      <c r="J29" s="4"/>
      <c r="K29" s="4"/>
      <c r="L29" s="4"/>
      <c r="M29" s="4"/>
      <c r="N29" s="4"/>
      <c r="O29" s="4"/>
      <c r="P29" s="4"/>
      <c r="Q29" s="4"/>
      <c r="R29" s="4"/>
      <c r="S29" s="4"/>
      <c r="T29" s="4"/>
      <c r="U29" s="4"/>
      <c r="V29" s="4"/>
      <c r="W29" s="4"/>
      <c r="X29" s="4"/>
    </row>
    <row r="30" spans="1:24" ht="12.75" customHeight="1">
      <c r="A30" s="4"/>
      <c r="B30" s="389"/>
      <c r="C30" s="389"/>
      <c r="D30" s="389"/>
      <c r="E30" s="105"/>
      <c r="F30" s="4"/>
      <c r="G30" s="4"/>
      <c r="H30" s="4"/>
      <c r="I30" s="4"/>
      <c r="J30" s="4"/>
      <c r="K30" s="4"/>
      <c r="L30" s="4"/>
      <c r="M30" s="4"/>
      <c r="N30" s="4"/>
      <c r="O30" s="4"/>
      <c r="P30" s="4"/>
      <c r="Q30" s="4"/>
      <c r="R30" s="4"/>
      <c r="S30" s="4"/>
      <c r="T30" s="4"/>
      <c r="U30" s="4"/>
      <c r="V30" s="4"/>
      <c r="W30" s="4"/>
      <c r="X30" s="4"/>
    </row>
    <row r="31" spans="1:24" ht="12.75" customHeight="1">
      <c r="A31" s="4"/>
      <c r="B31" s="389"/>
      <c r="C31" s="389"/>
      <c r="D31" s="389"/>
      <c r="E31" s="105"/>
      <c r="F31" s="4"/>
      <c r="G31" s="4"/>
      <c r="H31" s="4"/>
      <c r="I31" s="4"/>
      <c r="J31" s="4"/>
      <c r="K31" s="4"/>
      <c r="L31" s="4"/>
      <c r="M31" s="4"/>
      <c r="N31" s="4"/>
      <c r="O31" s="4"/>
      <c r="P31" s="4"/>
      <c r="Q31" s="4"/>
      <c r="R31" s="4"/>
      <c r="S31" s="4"/>
      <c r="T31" s="4"/>
      <c r="U31" s="4"/>
      <c r="V31" s="4"/>
      <c r="W31" s="4"/>
      <c r="X31" s="4"/>
    </row>
    <row r="32" spans="1:24" ht="12.75" customHeight="1">
      <c r="A32" s="4"/>
      <c r="B32" s="390"/>
      <c r="C32" s="390"/>
      <c r="D32" s="390"/>
      <c r="E32" s="105"/>
      <c r="F32" s="4"/>
      <c r="G32" s="4"/>
      <c r="H32" s="4"/>
      <c r="I32" s="4"/>
      <c r="J32" s="4"/>
      <c r="K32" s="4"/>
      <c r="L32" s="4"/>
      <c r="M32" s="4"/>
      <c r="N32" s="4"/>
      <c r="O32" s="4"/>
      <c r="P32" s="4"/>
      <c r="Q32" s="4"/>
      <c r="R32" s="4"/>
      <c r="S32" s="4"/>
      <c r="T32" s="4"/>
      <c r="U32" s="4"/>
      <c r="V32" s="4"/>
      <c r="W32" s="4"/>
      <c r="X32" s="4"/>
    </row>
    <row r="33" spans="1:24" ht="12.75" customHeight="1">
      <c r="A33" s="31" t="s">
        <v>148</v>
      </c>
      <c r="B33" s="234">
        <f t="shared" ref="B33:D33" si="0">SUM(B6:B32)</f>
        <v>0</v>
      </c>
      <c r="C33" s="234">
        <f t="shared" si="0"/>
        <v>0</v>
      </c>
      <c r="D33" s="234">
        <f t="shared" si="0"/>
        <v>0</v>
      </c>
      <c r="E33" s="234"/>
      <c r="F33" s="31"/>
      <c r="G33" s="31"/>
      <c r="H33" s="31"/>
      <c r="I33" s="31"/>
      <c r="J33" s="31"/>
      <c r="K33" s="31"/>
      <c r="L33" s="31"/>
      <c r="M33" s="31"/>
      <c r="N33" s="31"/>
      <c r="O33" s="31"/>
      <c r="P33" s="31"/>
      <c r="Q33" s="31"/>
      <c r="R33" s="31"/>
      <c r="S33" s="31"/>
      <c r="T33" s="31"/>
      <c r="U33" s="31"/>
      <c r="V33" s="31"/>
      <c r="W33" s="31"/>
      <c r="X33" s="31"/>
    </row>
    <row r="34" spans="1:24" ht="12.75" customHeight="1">
      <c r="A34" s="4"/>
      <c r="B34" s="105"/>
      <c r="C34" s="105"/>
      <c r="D34" s="105"/>
      <c r="E34" s="105"/>
      <c r="F34" s="4"/>
      <c r="G34" s="4"/>
      <c r="H34" s="4"/>
      <c r="I34" s="4"/>
      <c r="J34" s="4"/>
      <c r="K34" s="4"/>
      <c r="L34" s="4"/>
      <c r="M34" s="4"/>
      <c r="N34" s="4"/>
      <c r="O34" s="4"/>
      <c r="P34" s="4"/>
      <c r="Q34" s="4"/>
      <c r="R34" s="4"/>
      <c r="S34" s="4"/>
      <c r="T34" s="4"/>
      <c r="U34" s="4"/>
      <c r="V34" s="4"/>
      <c r="W34" s="4"/>
      <c r="X34" s="4"/>
    </row>
    <row r="35" spans="1:24" ht="12.75" customHeight="1">
      <c r="A35" s="4" t="s">
        <v>299</v>
      </c>
      <c r="B35" s="105">
        <f t="shared" ref="B35:D35" si="1">B4-B33</f>
        <v>0</v>
      </c>
      <c r="C35" s="105">
        <f t="shared" si="1"/>
        <v>0</v>
      </c>
      <c r="D35" s="105">
        <f t="shared" si="1"/>
        <v>0</v>
      </c>
      <c r="E35" s="105"/>
      <c r="F35" s="4"/>
      <c r="G35" s="4"/>
      <c r="H35" s="4"/>
      <c r="I35" s="4"/>
      <c r="J35" s="4"/>
      <c r="K35" s="4"/>
      <c r="L35" s="4"/>
      <c r="M35" s="4"/>
      <c r="N35" s="4"/>
      <c r="O35" s="4"/>
      <c r="P35" s="4"/>
      <c r="Q35" s="4"/>
      <c r="R35" s="4"/>
      <c r="S35" s="4"/>
      <c r="T35" s="4"/>
      <c r="U35" s="4"/>
      <c r="V35" s="4"/>
      <c r="W35" s="4"/>
      <c r="X35" s="4"/>
    </row>
    <row r="36" spans="1:24" ht="12.75" customHeight="1"/>
    <row r="37" spans="1:24" ht="12.75" customHeight="1"/>
    <row r="38" spans="1:24" ht="12.75" customHeight="1"/>
    <row r="39" spans="1:24" ht="12.75" customHeight="1"/>
    <row r="40" spans="1:24" ht="12.75" customHeight="1"/>
    <row r="41" spans="1:24" ht="12.75" customHeight="1"/>
    <row r="42" spans="1:24" ht="12.75" customHeight="1"/>
    <row r="43" spans="1:24" ht="12.75" customHeight="1"/>
    <row r="44" spans="1:24" ht="12.75" customHeight="1"/>
    <row r="45" spans="1:24" ht="12.75" customHeight="1"/>
    <row r="46" spans="1:24" ht="12.75" customHeight="1"/>
    <row r="47" spans="1:24" ht="12.75" customHeight="1"/>
    <row r="48" spans="1:24"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001"/>
  <sheetViews>
    <sheetView workbookViewId="0"/>
  </sheetViews>
  <sheetFormatPr defaultColWidth="12.5703125" defaultRowHeight="15" customHeight="1"/>
  <cols>
    <col min="1" max="1" width="11.42578125" customWidth="1"/>
    <col min="2" max="6" width="10.42578125" customWidth="1"/>
    <col min="7" max="7" width="3.42578125" customWidth="1"/>
    <col min="8" max="8" width="9.42578125" customWidth="1"/>
    <col min="9" max="9" width="8.85546875" customWidth="1"/>
    <col min="10" max="10" width="8.5703125" customWidth="1"/>
    <col min="11" max="11" width="8.85546875" customWidth="1"/>
    <col min="12" max="12" width="8.5703125" customWidth="1"/>
  </cols>
  <sheetData>
    <row r="1" spans="1:12" ht="12.75" customHeight="1">
      <c r="A1" s="1">
        <f>'Page 3-Assumptions'!A1</f>
        <v>0</v>
      </c>
      <c r="B1" s="2"/>
      <c r="C1" s="2"/>
      <c r="D1" s="2"/>
      <c r="E1" s="2"/>
      <c r="F1" s="2"/>
      <c r="H1" s="2"/>
      <c r="I1" s="2"/>
      <c r="J1" s="2"/>
      <c r="K1" s="2"/>
      <c r="L1" s="2"/>
    </row>
    <row r="2" spans="1:12" ht="18.600000000000001">
      <c r="A2" s="1" t="s">
        <v>5</v>
      </c>
      <c r="B2" s="2"/>
      <c r="C2" s="2"/>
      <c r="D2" s="2"/>
      <c r="E2" s="2"/>
      <c r="F2" s="2"/>
      <c r="H2" s="2"/>
      <c r="I2" s="2"/>
      <c r="J2" s="2"/>
      <c r="K2" s="2"/>
      <c r="L2" s="2"/>
    </row>
    <row r="3" spans="1:12" ht="12.75" customHeight="1">
      <c r="A3" s="3"/>
      <c r="B3" s="4"/>
      <c r="C3" s="4"/>
      <c r="D3" s="4"/>
      <c r="E3" s="4"/>
      <c r="F3" s="4"/>
      <c r="H3" s="4"/>
      <c r="I3" s="4"/>
      <c r="J3" s="2"/>
      <c r="K3" s="2"/>
      <c r="L3" s="2"/>
    </row>
    <row r="4" spans="1:12" ht="37.5" customHeight="1">
      <c r="A4" s="5"/>
      <c r="B4" s="248" t="s">
        <v>6</v>
      </c>
      <c r="C4" s="249"/>
      <c r="D4" s="249"/>
      <c r="E4" s="249"/>
      <c r="F4" s="249"/>
      <c r="G4" s="250"/>
      <c r="H4" s="251" t="s">
        <v>7</v>
      </c>
      <c r="I4" s="252"/>
      <c r="J4" s="252"/>
      <c r="K4" s="252"/>
      <c r="L4" s="253"/>
    </row>
    <row r="5" spans="1:12" ht="12.75" customHeight="1">
      <c r="A5" s="254"/>
      <c r="B5" s="6" t="s">
        <v>8</v>
      </c>
      <c r="C5" s="6" t="s">
        <v>9</v>
      </c>
      <c r="D5" s="6" t="s">
        <v>10</v>
      </c>
      <c r="E5" s="6" t="s">
        <v>11</v>
      </c>
      <c r="F5" s="6" t="s">
        <v>12</v>
      </c>
      <c r="G5" s="7"/>
      <c r="H5" s="6" t="s">
        <v>8</v>
      </c>
      <c r="I5" s="6" t="s">
        <v>9</v>
      </c>
      <c r="J5" s="6" t="s">
        <v>10</v>
      </c>
      <c r="K5" s="6" t="s">
        <v>11</v>
      </c>
      <c r="L5" s="6" t="s">
        <v>12</v>
      </c>
    </row>
    <row r="6" spans="1:12" ht="12.75" customHeight="1">
      <c r="A6" s="254" t="s">
        <v>13</v>
      </c>
      <c r="B6" s="8">
        <v>12</v>
      </c>
      <c r="C6" s="8">
        <v>20</v>
      </c>
      <c r="D6" s="8">
        <v>40</v>
      </c>
      <c r="E6" s="8">
        <v>40</v>
      </c>
      <c r="F6" s="8">
        <v>60</v>
      </c>
      <c r="G6" s="7"/>
      <c r="H6" s="8"/>
      <c r="I6" s="8"/>
      <c r="J6" s="8"/>
      <c r="K6" s="8"/>
      <c r="L6" s="8"/>
    </row>
    <row r="7" spans="1:12" ht="12.75" customHeight="1">
      <c r="A7" s="254" t="s">
        <v>14</v>
      </c>
      <c r="B7" s="8">
        <v>12</v>
      </c>
      <c r="C7" s="8">
        <v>12</v>
      </c>
      <c r="D7" s="8">
        <v>24</v>
      </c>
      <c r="E7" s="8">
        <v>24</v>
      </c>
      <c r="F7" s="8">
        <v>36</v>
      </c>
      <c r="G7" s="7"/>
      <c r="H7" s="8"/>
      <c r="I7" s="8"/>
      <c r="J7" s="8"/>
      <c r="K7" s="8"/>
      <c r="L7" s="8"/>
    </row>
    <row r="8" spans="1:12" ht="12.75" customHeight="1">
      <c r="A8" s="254">
        <v>1</v>
      </c>
      <c r="B8" s="8">
        <v>16</v>
      </c>
      <c r="C8" s="8">
        <v>16</v>
      </c>
      <c r="D8" s="8">
        <v>16</v>
      </c>
      <c r="E8" s="8">
        <v>16</v>
      </c>
      <c r="F8" s="8">
        <v>16</v>
      </c>
      <c r="G8" s="7"/>
      <c r="H8" s="8"/>
      <c r="I8" s="8"/>
      <c r="J8" s="8"/>
      <c r="K8" s="8"/>
      <c r="L8" s="8"/>
    </row>
    <row r="9" spans="1:12" ht="12.75" customHeight="1">
      <c r="A9" s="254">
        <v>2</v>
      </c>
      <c r="B9" s="8">
        <v>16</v>
      </c>
      <c r="C9" s="8">
        <v>16</v>
      </c>
      <c r="D9" s="8">
        <v>16</v>
      </c>
      <c r="E9" s="8">
        <v>16</v>
      </c>
      <c r="F9" s="8">
        <v>16</v>
      </c>
      <c r="G9" s="7"/>
      <c r="H9" s="8"/>
      <c r="I9" s="8"/>
      <c r="J9" s="8"/>
      <c r="K9" s="8"/>
      <c r="L9" s="8"/>
    </row>
    <row r="10" spans="1:12" ht="12.75" customHeight="1">
      <c r="A10" s="254">
        <v>3</v>
      </c>
      <c r="B10" s="8">
        <v>16</v>
      </c>
      <c r="C10" s="8">
        <v>16</v>
      </c>
      <c r="D10" s="8">
        <v>16</v>
      </c>
      <c r="E10" s="8">
        <v>16</v>
      </c>
      <c r="F10" s="8">
        <v>16</v>
      </c>
      <c r="G10" s="7"/>
      <c r="H10" s="8"/>
      <c r="I10" s="8"/>
      <c r="J10" s="8"/>
      <c r="K10" s="8"/>
      <c r="L10" s="8"/>
    </row>
    <row r="11" spans="1:12" ht="12.75" customHeight="1">
      <c r="A11" s="254">
        <v>4</v>
      </c>
      <c r="B11" s="8"/>
      <c r="C11" s="8">
        <v>16</v>
      </c>
      <c r="D11" s="8">
        <v>16</v>
      </c>
      <c r="E11" s="8">
        <v>16</v>
      </c>
      <c r="F11" s="8">
        <v>16</v>
      </c>
      <c r="G11" s="7"/>
      <c r="H11" s="8"/>
      <c r="I11" s="8"/>
      <c r="J11" s="8"/>
      <c r="K11" s="8"/>
      <c r="L11" s="8"/>
    </row>
    <row r="12" spans="1:12" ht="12.75" customHeight="1">
      <c r="A12" s="254">
        <v>5</v>
      </c>
      <c r="B12" s="8"/>
      <c r="C12" s="8"/>
      <c r="D12" s="8">
        <v>16</v>
      </c>
      <c r="E12" s="8">
        <v>16</v>
      </c>
      <c r="F12" s="8">
        <v>16</v>
      </c>
      <c r="G12" s="7"/>
      <c r="H12" s="8"/>
      <c r="I12" s="8"/>
      <c r="J12" s="8"/>
      <c r="K12" s="8"/>
      <c r="L12" s="8"/>
    </row>
    <row r="13" spans="1:12" ht="12.75" customHeight="1">
      <c r="A13" s="254">
        <v>6</v>
      </c>
      <c r="B13" s="8"/>
      <c r="C13" s="8"/>
      <c r="D13" s="8"/>
      <c r="E13" s="8">
        <v>16</v>
      </c>
      <c r="F13" s="8">
        <v>16</v>
      </c>
      <c r="G13" s="7"/>
      <c r="H13" s="8"/>
      <c r="I13" s="8"/>
      <c r="J13" s="8"/>
      <c r="K13" s="8"/>
      <c r="L13" s="8"/>
    </row>
    <row r="14" spans="1:12" ht="12.75" customHeight="1">
      <c r="A14" s="254">
        <v>7</v>
      </c>
      <c r="B14" s="8"/>
      <c r="C14" s="8"/>
      <c r="D14" s="8"/>
      <c r="E14" s="8"/>
      <c r="F14" s="8"/>
      <c r="G14" s="7"/>
      <c r="H14" s="8"/>
      <c r="I14" s="8"/>
      <c r="J14" s="8"/>
      <c r="K14" s="8"/>
      <c r="L14" s="8"/>
    </row>
    <row r="15" spans="1:12" ht="12.75" customHeight="1">
      <c r="A15" s="254">
        <v>8</v>
      </c>
      <c r="B15" s="8"/>
      <c r="C15" s="8"/>
      <c r="D15" s="8"/>
      <c r="E15" s="8"/>
      <c r="F15" s="8"/>
      <c r="G15" s="7"/>
      <c r="H15" s="8"/>
      <c r="I15" s="8"/>
      <c r="J15" s="8"/>
      <c r="K15" s="8"/>
      <c r="L15" s="8"/>
    </row>
    <row r="16" spans="1:12" ht="12.75" customHeight="1">
      <c r="A16" s="254">
        <v>9</v>
      </c>
      <c r="B16" s="8"/>
      <c r="C16" s="8"/>
      <c r="D16" s="8"/>
      <c r="E16" s="8"/>
      <c r="F16" s="8"/>
      <c r="G16" s="7"/>
      <c r="H16" s="8"/>
      <c r="I16" s="8"/>
      <c r="J16" s="8"/>
      <c r="K16" s="8"/>
      <c r="L16" s="8"/>
    </row>
    <row r="17" spans="1:12" ht="12.75" customHeight="1">
      <c r="A17" s="254">
        <v>10</v>
      </c>
      <c r="B17" s="8"/>
      <c r="C17" s="8"/>
      <c r="D17" s="8"/>
      <c r="E17" s="8"/>
      <c r="F17" s="8"/>
      <c r="G17" s="7"/>
      <c r="H17" s="8"/>
      <c r="I17" s="8"/>
      <c r="J17" s="8"/>
      <c r="K17" s="8"/>
      <c r="L17" s="8"/>
    </row>
    <row r="18" spans="1:12" ht="12.75" customHeight="1">
      <c r="A18" s="254">
        <v>11</v>
      </c>
      <c r="B18" s="8"/>
      <c r="C18" s="8"/>
      <c r="D18" s="8"/>
      <c r="E18" s="8"/>
      <c r="F18" s="8"/>
      <c r="G18" s="7"/>
      <c r="H18" s="8"/>
      <c r="I18" s="8"/>
      <c r="J18" s="8"/>
      <c r="K18" s="8"/>
      <c r="L18" s="8"/>
    </row>
    <row r="19" spans="1:12" ht="12.75" customHeight="1">
      <c r="A19" s="254">
        <v>12</v>
      </c>
      <c r="B19" s="9"/>
      <c r="C19" s="9"/>
      <c r="D19" s="9"/>
      <c r="E19" s="9"/>
      <c r="F19" s="9"/>
      <c r="G19" s="7"/>
      <c r="H19" s="9"/>
      <c r="I19" s="9"/>
      <c r="J19" s="9"/>
      <c r="K19" s="9"/>
      <c r="L19" s="9"/>
    </row>
    <row r="20" spans="1:12" ht="12.75" customHeight="1">
      <c r="A20" s="7"/>
      <c r="B20" s="7"/>
      <c r="C20" s="7"/>
      <c r="D20" s="7"/>
      <c r="E20" s="7"/>
      <c r="F20" s="7"/>
      <c r="G20" s="7"/>
      <c r="H20" s="255"/>
      <c r="I20" s="255"/>
      <c r="J20" s="255"/>
      <c r="K20" s="255"/>
      <c r="L20" s="10"/>
    </row>
    <row r="21" spans="1:12" ht="12.75" customHeight="1">
      <c r="A21" s="256" t="s">
        <v>15</v>
      </c>
      <c r="B21" s="11">
        <f t="shared" ref="B21:F21" si="0">SUM(B6:B19)+SUM(H6:H19)</f>
        <v>72</v>
      </c>
      <c r="C21" s="11">
        <f t="shared" si="0"/>
        <v>96</v>
      </c>
      <c r="D21" s="11">
        <f t="shared" si="0"/>
        <v>144</v>
      </c>
      <c r="E21" s="11">
        <f t="shared" si="0"/>
        <v>160</v>
      </c>
      <c r="F21" s="11">
        <f t="shared" si="0"/>
        <v>192</v>
      </c>
      <c r="G21" s="7"/>
      <c r="H21" s="4"/>
      <c r="I21" s="4"/>
      <c r="J21" s="4"/>
      <c r="K21" s="4"/>
      <c r="L21" s="257"/>
    </row>
    <row r="22" spans="1:12" ht="12.75" customHeight="1">
      <c r="A22" s="256"/>
      <c r="B22" s="258"/>
      <c r="C22" s="258"/>
      <c r="D22" s="258"/>
      <c r="E22" s="258"/>
      <c r="F22" s="258"/>
      <c r="G22" s="7"/>
      <c r="H22" s="4"/>
      <c r="I22" s="4"/>
      <c r="J22" s="4"/>
      <c r="K22" s="4"/>
      <c r="L22" s="257"/>
    </row>
    <row r="23" spans="1:12" ht="12.75" customHeight="1">
      <c r="A23" s="256" t="s">
        <v>16</v>
      </c>
      <c r="B23" s="12">
        <f t="shared" ref="B23:F23" si="1">SUM(B7:B19)+SUM(H7:H19)*0.5</f>
        <v>60</v>
      </c>
      <c r="C23" s="12">
        <f t="shared" si="1"/>
        <v>76</v>
      </c>
      <c r="D23" s="12">
        <f t="shared" si="1"/>
        <v>104</v>
      </c>
      <c r="E23" s="12">
        <f t="shared" si="1"/>
        <v>120</v>
      </c>
      <c r="F23" s="12">
        <f t="shared" si="1"/>
        <v>132</v>
      </c>
      <c r="G23" s="7"/>
      <c r="H23" s="4"/>
      <c r="I23" s="4"/>
      <c r="J23" s="4"/>
      <c r="K23" s="4"/>
      <c r="L23" s="257"/>
    </row>
    <row r="24" spans="1:12" ht="12.75" customHeight="1">
      <c r="A24" s="13" t="s">
        <v>17</v>
      </c>
      <c r="B24" s="259"/>
      <c r="C24" s="259"/>
      <c r="D24" s="259"/>
      <c r="E24" s="259"/>
      <c r="F24" s="259"/>
      <c r="G24" s="14"/>
      <c r="H24" s="15"/>
      <c r="I24" s="15"/>
      <c r="J24" s="15"/>
      <c r="K24" s="15"/>
      <c r="L24" s="260"/>
    </row>
    <row r="25" spans="1:12" ht="12.75" customHeight="1"/>
    <row r="26" spans="1:12" ht="12.75" customHeight="1">
      <c r="C26" s="16">
        <f t="shared" ref="C26:F26" si="2">(SUM(C7:C10)-SUM(B7:B10))/SUM(B7:B10)</f>
        <v>0</v>
      </c>
      <c r="D26" s="16">
        <f t="shared" si="2"/>
        <v>0.2</v>
      </c>
      <c r="E26" s="16">
        <f t="shared" si="2"/>
        <v>0</v>
      </c>
      <c r="F26" s="16">
        <f t="shared" si="2"/>
        <v>0.16666666666666666</v>
      </c>
    </row>
    <row r="27" spans="1:12" ht="12.75" customHeight="1"/>
    <row r="28" spans="1:12" ht="39.75" customHeight="1">
      <c r="A28" s="235"/>
      <c r="B28" s="261"/>
      <c r="C28" s="261"/>
      <c r="D28" s="261"/>
      <c r="E28" s="261"/>
      <c r="F28" s="261"/>
      <c r="G28" s="261"/>
      <c r="H28" s="261"/>
      <c r="I28" s="261"/>
      <c r="J28" s="261"/>
      <c r="K28" s="261"/>
      <c r="L28" s="261"/>
    </row>
    <row r="29" spans="1:12" ht="12.75" customHeight="1">
      <c r="A29" s="17"/>
      <c r="B29" s="17"/>
      <c r="D29" s="17"/>
      <c r="E29" s="17"/>
      <c r="F29" s="17"/>
      <c r="G29" s="17"/>
    </row>
    <row r="30" spans="1:12" ht="12.75" customHeight="1">
      <c r="G30" s="17"/>
    </row>
    <row r="31" spans="1:12" ht="12.75" customHeight="1">
      <c r="G31" s="17"/>
    </row>
    <row r="32" spans="1:12" ht="12.75" customHeight="1"/>
    <row r="33" spans="1:7" ht="12.75" customHeight="1"/>
    <row r="34" spans="1:7" ht="12.75" customHeight="1">
      <c r="B34" s="17"/>
      <c r="F34" s="17"/>
      <c r="G34" s="17"/>
    </row>
    <row r="35" spans="1:7" ht="12.75" customHeight="1">
      <c r="B35" s="17"/>
      <c r="F35" s="17"/>
      <c r="G35" s="17"/>
    </row>
    <row r="36" spans="1:7" ht="12.75" customHeight="1"/>
    <row r="37" spans="1:7" ht="12.75" customHeight="1">
      <c r="A37" s="17"/>
      <c r="B37" s="17"/>
      <c r="C37" s="17"/>
    </row>
    <row r="38" spans="1:7" ht="12.75" customHeight="1">
      <c r="B38" s="17"/>
      <c r="C38" s="17"/>
      <c r="D38" s="17"/>
      <c r="E38" s="17"/>
      <c r="F38" s="17"/>
      <c r="G38" s="17"/>
    </row>
    <row r="39" spans="1:7" ht="12.75" customHeight="1">
      <c r="B39" s="17"/>
      <c r="C39" s="17"/>
      <c r="D39" s="17"/>
      <c r="E39" s="17"/>
      <c r="F39" s="17"/>
      <c r="G39" s="17"/>
    </row>
    <row r="40" spans="1:7" ht="12.75" customHeight="1">
      <c r="B40" s="17"/>
      <c r="C40" s="17"/>
      <c r="D40" s="17"/>
      <c r="E40" s="17"/>
      <c r="F40" s="17"/>
      <c r="G40" s="17"/>
    </row>
    <row r="41" spans="1:7" ht="12.75" customHeight="1">
      <c r="B41" s="17"/>
      <c r="D41" s="17"/>
      <c r="E41" s="17"/>
    </row>
    <row r="42" spans="1:7" ht="12.75" customHeight="1">
      <c r="B42" s="17"/>
      <c r="E42" s="17"/>
    </row>
    <row r="43" spans="1:7" ht="12.75" customHeight="1"/>
    <row r="44" spans="1:7" ht="12.75" customHeight="1">
      <c r="A44" s="17"/>
      <c r="B44" s="17"/>
      <c r="F44" s="17"/>
      <c r="G44" s="17"/>
    </row>
    <row r="45" spans="1:7" ht="12.75" customHeight="1">
      <c r="B45" s="17"/>
      <c r="F45" s="17"/>
      <c r="G45" s="17"/>
    </row>
    <row r="46" spans="1:7" ht="12.75" customHeight="1">
      <c r="B46" s="17"/>
      <c r="F46" s="17"/>
      <c r="G46" s="17"/>
    </row>
    <row r="47" spans="1:7" ht="12.75" customHeight="1"/>
    <row r="48" spans="1:7" ht="12.75" customHeight="1"/>
    <row r="49" spans="1:7" ht="12.75" customHeight="1">
      <c r="A49" s="17"/>
      <c r="C49" s="17"/>
      <c r="D49" s="17"/>
      <c r="E49" s="17"/>
      <c r="F49" s="17"/>
      <c r="G49" s="17"/>
    </row>
    <row r="50" spans="1:7" ht="12.75" customHeight="1"/>
    <row r="51" spans="1:7" ht="12.75" customHeight="1"/>
    <row r="52" spans="1:7" ht="12.75" customHeight="1"/>
    <row r="53" spans="1:7" ht="12.75" customHeight="1"/>
    <row r="54" spans="1:7" ht="12.75" customHeight="1"/>
    <row r="55" spans="1:7" ht="12.75" customHeight="1"/>
    <row r="56" spans="1:7" ht="12.75" customHeight="1"/>
    <row r="57" spans="1:7" ht="12.75" customHeight="1"/>
    <row r="58" spans="1:7" ht="12.75" customHeight="1"/>
    <row r="59" spans="1:7" ht="12.75" customHeight="1"/>
    <row r="60" spans="1:7" ht="12.75" customHeight="1"/>
    <row r="61" spans="1:7" ht="12.75" customHeight="1"/>
    <row r="62" spans="1:7" ht="12.75" customHeight="1"/>
    <row r="63" spans="1:7" ht="12.75" customHeight="1"/>
    <row r="64" spans="1:7"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mergeCells count="3">
    <mergeCell ref="B4:F4"/>
    <mergeCell ref="H4:L4"/>
    <mergeCell ref="A28:L28"/>
  </mergeCells>
  <printOptions horizontalCentered="1"/>
  <pageMargins left="0.25" right="0.25" top="0.75" bottom="0.75"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workbookViewId="0"/>
  </sheetViews>
  <sheetFormatPr defaultColWidth="12.5703125" defaultRowHeight="15" customHeight="1"/>
  <cols>
    <col min="1" max="1" width="33.42578125" customWidth="1"/>
    <col min="2" max="2" width="12.42578125" customWidth="1"/>
    <col min="3" max="7" width="12" customWidth="1"/>
    <col min="8" max="8" width="2" customWidth="1"/>
    <col min="9" max="9" width="10.5703125" customWidth="1"/>
    <col min="10" max="10" width="1.5703125" customWidth="1"/>
    <col min="11" max="11" width="81.42578125" hidden="1" customWidth="1"/>
    <col min="12" max="22" width="9.140625" hidden="1" customWidth="1"/>
    <col min="23" max="26" width="8.5703125" hidden="1" customWidth="1"/>
  </cols>
  <sheetData>
    <row r="1" spans="1:26" ht="12.75" customHeight="1">
      <c r="A1" s="18">
        <f>'Page 3-Assumptions'!A1</f>
        <v>0</v>
      </c>
      <c r="B1" s="4"/>
      <c r="C1" s="4"/>
      <c r="D1" s="4"/>
      <c r="E1" s="19" t="s">
        <v>18</v>
      </c>
      <c r="F1" s="19"/>
      <c r="G1" s="19"/>
      <c r="H1" s="19"/>
      <c r="I1" s="19"/>
      <c r="J1" s="4"/>
      <c r="K1" s="4"/>
      <c r="L1" s="4"/>
      <c r="M1" s="4"/>
      <c r="N1" s="4"/>
      <c r="O1" s="4"/>
      <c r="P1" s="4"/>
      <c r="Q1" s="4"/>
      <c r="R1" s="4"/>
      <c r="S1" s="4"/>
      <c r="T1" s="4"/>
      <c r="U1" s="4"/>
      <c r="V1" s="4"/>
      <c r="W1" s="4"/>
      <c r="X1" s="4"/>
      <c r="Y1" s="4"/>
      <c r="Z1" s="4"/>
    </row>
    <row r="2" spans="1:26" ht="18.600000000000001">
      <c r="A2" s="18" t="s">
        <v>19</v>
      </c>
      <c r="B2" s="4"/>
      <c r="C2" s="4"/>
      <c r="D2" s="4"/>
      <c r="E2" s="4"/>
      <c r="F2" s="4"/>
      <c r="G2" s="4"/>
      <c r="H2" s="4"/>
      <c r="I2" s="4"/>
      <c r="J2" s="4"/>
      <c r="K2" s="4" t="s">
        <v>20</v>
      </c>
      <c r="L2" s="4"/>
      <c r="M2" s="4"/>
      <c r="N2" s="4"/>
      <c r="O2" s="4"/>
      <c r="P2" s="4"/>
      <c r="Q2" s="4"/>
      <c r="R2" s="4"/>
      <c r="S2" s="4"/>
      <c r="T2" s="4"/>
      <c r="U2" s="4"/>
      <c r="V2" s="4"/>
      <c r="W2" s="4"/>
      <c r="X2" s="4"/>
      <c r="Y2" s="4"/>
      <c r="Z2" s="4"/>
    </row>
    <row r="3" spans="1:26" ht="12.75" customHeight="1">
      <c r="A3" s="4"/>
      <c r="B3" s="4"/>
      <c r="C3" s="4"/>
      <c r="D3" s="4"/>
      <c r="E3" s="4"/>
      <c r="F3" s="4"/>
      <c r="G3" s="4"/>
      <c r="H3" s="4"/>
      <c r="I3" s="4"/>
      <c r="J3" s="4"/>
      <c r="K3" s="4"/>
      <c r="L3" s="4"/>
      <c r="M3" s="4"/>
      <c r="N3" s="4"/>
      <c r="O3" s="4"/>
      <c r="P3" s="4"/>
      <c r="Q3" s="4"/>
      <c r="R3" s="4"/>
      <c r="S3" s="4"/>
      <c r="T3" s="4"/>
      <c r="U3" s="4"/>
      <c r="V3" s="4"/>
      <c r="W3" s="4"/>
      <c r="X3" s="4"/>
      <c r="Y3" s="4"/>
      <c r="Z3" s="4"/>
    </row>
    <row r="4" spans="1:26" ht="18.75" customHeight="1">
      <c r="A4" s="262"/>
      <c r="B4" s="20" t="str">
        <f>'Page 10-6 yr Budget-detail'!B4</f>
        <v>YEAR 0</v>
      </c>
      <c r="C4" s="20" t="str">
        <f>'Page 10-6 yr Budget-detail'!C4</f>
        <v>YEAR 1</v>
      </c>
      <c r="D4" s="20" t="str">
        <f>'Page 10-6 yr Budget-detail'!D4</f>
        <v>YEAR 2</v>
      </c>
      <c r="E4" s="20" t="str">
        <f>'Page 10-6 yr Budget-detail'!E4</f>
        <v>YEAR 3</v>
      </c>
      <c r="F4" s="20" t="str">
        <f>'Page 10-6 yr Budget-detail'!F4</f>
        <v>YEAR 4</v>
      </c>
      <c r="G4" s="20" t="str">
        <f>'Page 10-6 yr Budget-detail'!G4</f>
        <v>YEAR 5</v>
      </c>
      <c r="H4" s="21"/>
      <c r="I4" s="263" t="s">
        <v>21</v>
      </c>
      <c r="J4" s="22"/>
      <c r="K4" s="23"/>
      <c r="L4" s="23"/>
      <c r="M4" s="23"/>
      <c r="N4" s="23"/>
      <c r="O4" s="23"/>
      <c r="P4" s="23"/>
      <c r="Q4" s="23"/>
      <c r="R4" s="23"/>
      <c r="S4" s="23"/>
      <c r="T4" s="23"/>
      <c r="U4" s="23"/>
      <c r="V4" s="23"/>
      <c r="W4" s="23"/>
      <c r="X4" s="23"/>
      <c r="Y4" s="23"/>
      <c r="Z4" s="23"/>
    </row>
    <row r="5" spans="1:26" ht="19.5" customHeight="1">
      <c r="A5" s="24" t="s">
        <v>22</v>
      </c>
      <c r="B5" s="25" t="str">
        <f>'Page 4-Year 0'!D6</f>
        <v>N/A</v>
      </c>
      <c r="C5" s="26">
        <f>'Page 5-Year 1'!E5</f>
        <v>72</v>
      </c>
      <c r="D5" s="26">
        <f>'Page 6-Year 2'!E5</f>
        <v>96</v>
      </c>
      <c r="E5" s="26">
        <f>'Page 7-Year 3'!E5</f>
        <v>144</v>
      </c>
      <c r="F5" s="26">
        <f>'Page 8-Year 4'!E5</f>
        <v>160</v>
      </c>
      <c r="G5" s="26">
        <f>'Page 9-Year 5'!E5</f>
        <v>192</v>
      </c>
      <c r="H5" s="264"/>
      <c r="I5" s="265"/>
      <c r="J5" s="27"/>
      <c r="K5" s="4"/>
      <c r="L5" s="4"/>
      <c r="M5" s="4"/>
      <c r="N5" s="4"/>
      <c r="O5" s="4"/>
      <c r="P5" s="4"/>
      <c r="Q5" s="4"/>
      <c r="R5" s="4"/>
      <c r="S5" s="4"/>
      <c r="T5" s="4"/>
      <c r="U5" s="4"/>
      <c r="V5" s="4"/>
      <c r="W5" s="4"/>
      <c r="X5" s="4"/>
      <c r="Y5" s="4"/>
      <c r="Z5" s="4"/>
    </row>
    <row r="6" spans="1:26" ht="12.75" customHeight="1">
      <c r="A6" s="266" t="s">
        <v>23</v>
      </c>
      <c r="B6" s="267">
        <v>0</v>
      </c>
      <c r="C6" s="267">
        <v>5</v>
      </c>
      <c r="D6" s="267">
        <v>6</v>
      </c>
      <c r="E6" s="267">
        <v>9</v>
      </c>
      <c r="F6" s="267">
        <v>9</v>
      </c>
      <c r="G6" s="28">
        <v>11</v>
      </c>
      <c r="H6" s="268"/>
      <c r="I6" s="29">
        <v>60000</v>
      </c>
      <c r="J6" s="30"/>
      <c r="K6" s="31"/>
      <c r="L6" s="31"/>
      <c r="M6" s="31"/>
      <c r="N6" s="31"/>
      <c r="O6" s="31"/>
      <c r="P6" s="31"/>
      <c r="Q6" s="31"/>
      <c r="R6" s="31"/>
      <c r="S6" s="31"/>
      <c r="T6" s="31"/>
      <c r="U6" s="31"/>
      <c r="V6" s="31"/>
      <c r="W6" s="31"/>
      <c r="X6" s="31"/>
      <c r="Y6" s="31"/>
      <c r="Z6" s="31"/>
    </row>
    <row r="7" spans="1:26" ht="12.75" customHeight="1">
      <c r="A7" s="266" t="s">
        <v>24</v>
      </c>
      <c r="B7" s="267">
        <v>0</v>
      </c>
      <c r="C7" s="269">
        <v>3</v>
      </c>
      <c r="D7" s="269">
        <v>4</v>
      </c>
      <c r="E7" s="269">
        <v>7</v>
      </c>
      <c r="F7" s="269">
        <v>8</v>
      </c>
      <c r="G7" s="269">
        <v>10</v>
      </c>
      <c r="H7" s="268"/>
      <c r="I7" s="270">
        <v>30000</v>
      </c>
      <c r="J7" s="30"/>
      <c r="K7" s="31"/>
      <c r="L7" s="31"/>
      <c r="M7" s="31"/>
      <c r="N7" s="31"/>
      <c r="O7" s="31"/>
      <c r="P7" s="31"/>
      <c r="Q7" s="31"/>
      <c r="R7" s="31"/>
      <c r="S7" s="31"/>
      <c r="T7" s="31"/>
      <c r="U7" s="31"/>
      <c r="V7" s="31"/>
      <c r="W7" s="31"/>
      <c r="X7" s="31"/>
      <c r="Y7" s="31"/>
      <c r="Z7" s="31"/>
    </row>
    <row r="8" spans="1:26" ht="12.75" customHeight="1">
      <c r="A8" s="271"/>
      <c r="B8" s="267"/>
      <c r="C8" s="267"/>
      <c r="D8" s="267"/>
      <c r="E8" s="267"/>
      <c r="F8" s="267"/>
      <c r="G8" s="269"/>
      <c r="H8" s="272"/>
      <c r="I8" s="270"/>
      <c r="J8" s="30"/>
      <c r="K8" s="31"/>
      <c r="L8" s="31"/>
      <c r="M8" s="31"/>
      <c r="N8" s="31"/>
      <c r="O8" s="31"/>
      <c r="P8" s="31"/>
      <c r="Q8" s="31"/>
      <c r="R8" s="31"/>
      <c r="S8" s="31"/>
      <c r="T8" s="31"/>
      <c r="U8" s="31"/>
      <c r="V8" s="31"/>
      <c r="W8" s="31"/>
      <c r="X8" s="31"/>
      <c r="Y8" s="31"/>
      <c r="Z8" s="31"/>
    </row>
    <row r="9" spans="1:26" ht="12.75" customHeight="1">
      <c r="A9" s="271"/>
      <c r="B9" s="267"/>
      <c r="C9" s="267"/>
      <c r="D9" s="267"/>
      <c r="E9" s="267"/>
      <c r="F9" s="267"/>
      <c r="G9" s="269"/>
      <c r="H9" s="258"/>
      <c r="I9" s="270"/>
      <c r="J9" s="30"/>
      <c r="K9" s="4"/>
      <c r="L9" s="4"/>
      <c r="M9" s="4"/>
      <c r="N9" s="4"/>
      <c r="O9" s="4"/>
      <c r="P9" s="4"/>
      <c r="Q9" s="4"/>
      <c r="R9" s="4"/>
      <c r="S9" s="4"/>
      <c r="T9" s="4"/>
      <c r="U9" s="4"/>
      <c r="V9" s="4"/>
      <c r="W9" s="4"/>
      <c r="X9" s="4"/>
      <c r="Y9" s="4"/>
      <c r="Z9" s="4"/>
    </row>
    <row r="10" spans="1:26" ht="12.75" customHeight="1">
      <c r="A10" s="266"/>
      <c r="B10" s="267"/>
      <c r="C10" s="267"/>
      <c r="D10" s="267"/>
      <c r="E10" s="267"/>
      <c r="F10" s="267"/>
      <c r="G10" s="269"/>
      <c r="H10" s="258"/>
      <c r="I10" s="270"/>
      <c r="J10" s="30"/>
      <c r="K10" s="4"/>
      <c r="L10" s="4"/>
      <c r="M10" s="4"/>
      <c r="N10" s="4"/>
      <c r="O10" s="4"/>
      <c r="P10" s="4"/>
      <c r="Q10" s="4"/>
      <c r="R10" s="4"/>
      <c r="S10" s="4"/>
      <c r="T10" s="4"/>
      <c r="U10" s="4"/>
      <c r="V10" s="4"/>
      <c r="W10" s="4"/>
      <c r="X10" s="4"/>
      <c r="Y10" s="4"/>
      <c r="Z10" s="4"/>
    </row>
    <row r="11" spans="1:26" ht="12.75" customHeight="1">
      <c r="A11" s="273"/>
      <c r="B11" s="267"/>
      <c r="C11" s="267"/>
      <c r="D11" s="269"/>
      <c r="E11" s="274"/>
      <c r="F11" s="267"/>
      <c r="G11" s="269"/>
      <c r="H11" s="258"/>
      <c r="I11" s="270"/>
      <c r="J11" s="30"/>
      <c r="K11" s="4"/>
      <c r="L11" s="4"/>
      <c r="M11" s="4"/>
      <c r="N11" s="4"/>
      <c r="O11" s="4"/>
      <c r="P11" s="4"/>
      <c r="Q11" s="4"/>
      <c r="R11" s="4"/>
      <c r="S11" s="4"/>
      <c r="T11" s="4"/>
      <c r="U11" s="4"/>
      <c r="V11" s="4"/>
      <c r="W11" s="4"/>
      <c r="X11" s="4"/>
      <c r="Y11" s="4"/>
      <c r="Z11" s="4"/>
    </row>
    <row r="12" spans="1:26" ht="12.75" customHeight="1">
      <c r="A12" s="271"/>
      <c r="B12" s="267"/>
      <c r="C12" s="267"/>
      <c r="D12" s="269"/>
      <c r="E12" s="274"/>
      <c r="F12" s="267"/>
      <c r="G12" s="269"/>
      <c r="H12" s="258"/>
      <c r="I12" s="270"/>
      <c r="J12" s="30"/>
      <c r="K12" s="4"/>
      <c r="L12" s="4"/>
      <c r="M12" s="4"/>
      <c r="N12" s="4"/>
      <c r="O12" s="4"/>
      <c r="P12" s="4"/>
      <c r="Q12" s="4"/>
      <c r="R12" s="4"/>
      <c r="S12" s="4"/>
      <c r="T12" s="4"/>
      <c r="U12" s="4"/>
      <c r="V12" s="4"/>
      <c r="W12" s="4"/>
      <c r="X12" s="4"/>
      <c r="Y12" s="4"/>
      <c r="Z12" s="4"/>
    </row>
    <row r="13" spans="1:26" ht="12.75" customHeight="1">
      <c r="A13" s="271"/>
      <c r="B13" s="267"/>
      <c r="C13" s="267"/>
      <c r="D13" s="269"/>
      <c r="E13" s="274"/>
      <c r="F13" s="267"/>
      <c r="G13" s="269"/>
      <c r="H13" s="258"/>
      <c r="I13" s="270"/>
      <c r="J13" s="30"/>
      <c r="K13" s="4"/>
      <c r="L13" s="4"/>
      <c r="M13" s="4"/>
      <c r="N13" s="4"/>
      <c r="O13" s="4"/>
      <c r="P13" s="4"/>
      <c r="Q13" s="4"/>
      <c r="R13" s="4"/>
      <c r="S13" s="4"/>
      <c r="T13" s="4"/>
      <c r="U13" s="4"/>
      <c r="V13" s="4"/>
      <c r="W13" s="4"/>
      <c r="X13" s="4"/>
      <c r="Y13" s="4"/>
      <c r="Z13" s="4"/>
    </row>
    <row r="14" spans="1:26" ht="12.75" customHeight="1">
      <c r="A14" s="275"/>
      <c r="B14" s="269"/>
      <c r="C14" s="269"/>
      <c r="D14" s="269"/>
      <c r="E14" s="269"/>
      <c r="F14" s="269"/>
      <c r="G14" s="269"/>
      <c r="H14" s="258"/>
      <c r="I14" s="32"/>
      <c r="J14" s="30"/>
      <c r="K14" s="4" t="s">
        <v>0</v>
      </c>
      <c r="L14" s="4"/>
      <c r="M14" s="4"/>
      <c r="N14" s="4"/>
      <c r="O14" s="4"/>
      <c r="P14" s="4"/>
      <c r="Q14" s="4"/>
      <c r="R14" s="4"/>
      <c r="S14" s="4"/>
      <c r="T14" s="4"/>
      <c r="U14" s="4"/>
      <c r="V14" s="4"/>
      <c r="W14" s="4"/>
      <c r="X14" s="4"/>
      <c r="Y14" s="4"/>
      <c r="Z14" s="4"/>
    </row>
    <row r="15" spans="1:26" ht="12.75" customHeight="1">
      <c r="A15" s="33" t="s">
        <v>25</v>
      </c>
      <c r="B15" s="34">
        <f t="shared" ref="B15:G15" si="0">SUM(B6:B14)</f>
        <v>0</v>
      </c>
      <c r="C15" s="34">
        <f t="shared" si="0"/>
        <v>8</v>
      </c>
      <c r="D15" s="34">
        <f t="shared" si="0"/>
        <v>10</v>
      </c>
      <c r="E15" s="34">
        <f t="shared" si="0"/>
        <v>16</v>
      </c>
      <c r="F15" s="34">
        <f t="shared" si="0"/>
        <v>17</v>
      </c>
      <c r="G15" s="34">
        <f t="shared" si="0"/>
        <v>21</v>
      </c>
      <c r="H15" s="258"/>
      <c r="I15" s="276"/>
      <c r="J15" s="30"/>
      <c r="K15" s="4"/>
      <c r="L15" s="4"/>
      <c r="M15" s="4"/>
      <c r="N15" s="4"/>
      <c r="O15" s="4"/>
      <c r="P15" s="4"/>
      <c r="Q15" s="4"/>
      <c r="R15" s="4"/>
      <c r="S15" s="4"/>
      <c r="T15" s="4"/>
      <c r="U15" s="4"/>
      <c r="V15" s="4"/>
      <c r="W15" s="277"/>
      <c r="X15" s="277"/>
      <c r="Y15" s="277"/>
      <c r="Z15" s="277"/>
    </row>
    <row r="16" spans="1:26" ht="12.75" customHeight="1">
      <c r="A16" s="278"/>
      <c r="B16" s="268"/>
      <c r="C16" s="268"/>
      <c r="D16" s="268"/>
      <c r="E16" s="268"/>
      <c r="F16" s="268"/>
      <c r="G16" s="268"/>
      <c r="H16" s="258"/>
      <c r="I16" s="276"/>
      <c r="J16" s="30"/>
      <c r="K16" s="4"/>
      <c r="L16" s="4"/>
      <c r="M16" s="4"/>
      <c r="N16" s="4"/>
      <c r="O16" s="4"/>
      <c r="P16" s="4"/>
      <c r="Q16" s="4"/>
      <c r="R16" s="4"/>
      <c r="S16" s="4"/>
      <c r="T16" s="4"/>
      <c r="U16" s="4"/>
      <c r="V16" s="4"/>
      <c r="W16" s="4"/>
      <c r="X16" s="4"/>
      <c r="Y16" s="4"/>
      <c r="Z16" s="4"/>
    </row>
    <row r="17" spans="1:26" ht="34.5" customHeight="1">
      <c r="A17" s="24" t="s">
        <v>26</v>
      </c>
      <c r="B17" s="25" t="str">
        <f t="shared" ref="B17:G17" si="1">B5</f>
        <v>N/A</v>
      </c>
      <c r="C17" s="26">
        <f t="shared" si="1"/>
        <v>72</v>
      </c>
      <c r="D17" s="26">
        <f t="shared" si="1"/>
        <v>96</v>
      </c>
      <c r="E17" s="26">
        <f t="shared" si="1"/>
        <v>144</v>
      </c>
      <c r="F17" s="26">
        <f t="shared" si="1"/>
        <v>160</v>
      </c>
      <c r="G17" s="35">
        <f t="shared" si="1"/>
        <v>192</v>
      </c>
      <c r="H17" s="268"/>
      <c r="I17" s="279"/>
      <c r="J17" s="30"/>
      <c r="K17" s="36"/>
      <c r="L17" s="31"/>
      <c r="M17" s="31"/>
      <c r="N17" s="31"/>
      <c r="O17" s="31"/>
      <c r="P17" s="31"/>
      <c r="Q17" s="31"/>
      <c r="R17" s="31"/>
      <c r="S17" s="31"/>
      <c r="T17" s="31"/>
      <c r="U17" s="31"/>
      <c r="V17" s="31"/>
      <c r="W17" s="31"/>
      <c r="X17" s="31"/>
      <c r="Y17" s="31"/>
      <c r="Z17" s="31"/>
    </row>
    <row r="18" spans="1:26" ht="22.5" customHeight="1">
      <c r="A18" s="266" t="s">
        <v>27</v>
      </c>
      <c r="B18" s="280">
        <v>0.25</v>
      </c>
      <c r="C18" s="280">
        <v>0.25</v>
      </c>
      <c r="D18" s="280">
        <v>0.25</v>
      </c>
      <c r="E18" s="280">
        <v>0.5</v>
      </c>
      <c r="F18" s="280">
        <v>0.5</v>
      </c>
      <c r="G18" s="281">
        <v>0.5</v>
      </c>
      <c r="H18" s="282"/>
      <c r="I18" s="29">
        <v>70000</v>
      </c>
      <c r="J18" s="30"/>
      <c r="K18" s="37" t="s">
        <v>28</v>
      </c>
      <c r="L18" s="4"/>
      <c r="M18" s="4"/>
      <c r="N18" s="4"/>
      <c r="O18" s="4"/>
      <c r="P18" s="4"/>
      <c r="Q18" s="4"/>
      <c r="R18" s="4"/>
      <c r="S18" s="4"/>
      <c r="T18" s="4"/>
      <c r="U18" s="4"/>
      <c r="V18" s="4"/>
      <c r="W18" s="4"/>
      <c r="X18" s="4"/>
      <c r="Y18" s="4"/>
      <c r="Z18" s="4"/>
    </row>
    <row r="19" spans="1:26" ht="22.5" customHeight="1">
      <c r="A19" s="266" t="s">
        <v>29</v>
      </c>
      <c r="B19" s="280">
        <v>0</v>
      </c>
      <c r="C19" s="280">
        <v>0.5</v>
      </c>
      <c r="D19" s="280">
        <v>0.5</v>
      </c>
      <c r="E19" s="280">
        <v>1</v>
      </c>
      <c r="F19" s="280">
        <v>1</v>
      </c>
      <c r="G19" s="281">
        <v>1</v>
      </c>
      <c r="H19" s="282"/>
      <c r="I19" s="270">
        <v>60000</v>
      </c>
      <c r="J19" s="30"/>
      <c r="K19" s="37" t="s">
        <v>30</v>
      </c>
      <c r="L19" s="4" t="s">
        <v>0</v>
      </c>
      <c r="M19" s="4"/>
      <c r="N19" s="4"/>
      <c r="O19" s="4"/>
      <c r="P19" s="4"/>
      <c r="Q19" s="4"/>
      <c r="R19" s="4"/>
      <c r="S19" s="4"/>
      <c r="T19" s="4"/>
      <c r="U19" s="4"/>
      <c r="V19" s="4"/>
      <c r="W19" s="4"/>
      <c r="X19" s="4"/>
      <c r="Y19" s="4"/>
      <c r="Z19" s="4"/>
    </row>
    <row r="20" spans="1:26" ht="22.5" customHeight="1">
      <c r="A20" s="283" t="s">
        <v>31</v>
      </c>
      <c r="B20" s="280">
        <v>0</v>
      </c>
      <c r="C20" s="280">
        <v>0</v>
      </c>
      <c r="D20" s="280">
        <v>0.25</v>
      </c>
      <c r="E20" s="281">
        <v>0.33</v>
      </c>
      <c r="F20" s="281">
        <v>0.45</v>
      </c>
      <c r="G20" s="281">
        <v>0.45</v>
      </c>
      <c r="H20" s="282"/>
      <c r="I20" s="270">
        <v>70000</v>
      </c>
      <c r="J20" s="30"/>
      <c r="K20" s="37" t="s">
        <v>32</v>
      </c>
      <c r="L20" s="4"/>
      <c r="M20" s="4"/>
      <c r="N20" s="4"/>
      <c r="O20" s="4"/>
      <c r="P20" s="4"/>
      <c r="Q20" s="4"/>
      <c r="R20" s="4"/>
      <c r="S20" s="4"/>
      <c r="T20" s="4"/>
      <c r="U20" s="4"/>
      <c r="V20" s="4"/>
      <c r="W20" s="4"/>
      <c r="X20" s="4"/>
      <c r="Y20" s="4"/>
      <c r="Z20" s="4"/>
    </row>
    <row r="21" spans="1:26" ht="22.5" customHeight="1">
      <c r="A21" s="266" t="s">
        <v>33</v>
      </c>
      <c r="B21" s="280">
        <v>0</v>
      </c>
      <c r="C21" s="280">
        <v>0.25</v>
      </c>
      <c r="D21" s="281">
        <v>0.5</v>
      </c>
      <c r="E21" s="38">
        <v>0.5</v>
      </c>
      <c r="F21" s="281">
        <v>1.25</v>
      </c>
      <c r="G21" s="281">
        <v>1.5</v>
      </c>
      <c r="H21" s="282" t="s">
        <v>0</v>
      </c>
      <c r="I21" s="270">
        <v>50000</v>
      </c>
      <c r="J21" s="30"/>
      <c r="K21" s="37" t="s">
        <v>34</v>
      </c>
      <c r="L21" s="4"/>
      <c r="M21" s="4"/>
      <c r="N21" s="4"/>
      <c r="O21" s="4"/>
      <c r="P21" s="4"/>
      <c r="Q21" s="4"/>
      <c r="R21" s="4"/>
      <c r="S21" s="4"/>
      <c r="T21" s="4"/>
      <c r="U21" s="4"/>
      <c r="V21" s="4"/>
      <c r="W21" s="4"/>
      <c r="X21" s="4"/>
      <c r="Y21" s="4"/>
      <c r="Z21" s="4"/>
    </row>
    <row r="22" spans="1:26" ht="22.5" customHeight="1">
      <c r="A22" s="266" t="s">
        <v>35</v>
      </c>
      <c r="B22" s="280">
        <v>0</v>
      </c>
      <c r="C22" s="280">
        <v>0.25</v>
      </c>
      <c r="D22" s="281">
        <v>0.25</v>
      </c>
      <c r="E22" s="38">
        <v>0.5</v>
      </c>
      <c r="F22" s="281">
        <v>1.25</v>
      </c>
      <c r="G22" s="281">
        <v>1.5</v>
      </c>
      <c r="H22" s="282"/>
      <c r="I22" s="270">
        <v>50000</v>
      </c>
      <c r="J22" s="30"/>
      <c r="K22" s="37" t="s">
        <v>36</v>
      </c>
      <c r="L22" s="4"/>
      <c r="M22" s="4"/>
      <c r="N22" s="4"/>
      <c r="O22" s="4"/>
      <c r="P22" s="4"/>
      <c r="Q22" s="4"/>
      <c r="R22" s="4"/>
      <c r="S22" s="4"/>
      <c r="T22" s="4"/>
      <c r="U22" s="4"/>
      <c r="V22" s="4"/>
      <c r="W22" s="4"/>
      <c r="X22" s="4"/>
      <c r="Y22" s="4"/>
      <c r="Z22" s="4"/>
    </row>
    <row r="23" spans="1:26" ht="22.5" customHeight="1">
      <c r="A23" s="284" t="s">
        <v>37</v>
      </c>
      <c r="B23" s="280">
        <v>0</v>
      </c>
      <c r="C23" s="280">
        <v>0.3</v>
      </c>
      <c r="D23" s="281">
        <v>0.3</v>
      </c>
      <c r="E23" s="38">
        <v>0.5</v>
      </c>
      <c r="F23" s="281">
        <v>0.5</v>
      </c>
      <c r="G23" s="281">
        <v>0.75</v>
      </c>
      <c r="H23" s="282"/>
      <c r="I23" s="270">
        <v>55000</v>
      </c>
      <c r="J23" s="30"/>
      <c r="K23" s="37" t="s">
        <v>38</v>
      </c>
      <c r="L23" s="4"/>
      <c r="M23" s="4"/>
      <c r="N23" s="4"/>
      <c r="O23" s="4"/>
      <c r="P23" s="4"/>
      <c r="Q23" s="4"/>
      <c r="R23" s="4"/>
      <c r="S23" s="4"/>
      <c r="T23" s="4"/>
      <c r="U23" s="4"/>
      <c r="V23" s="4"/>
      <c r="W23" s="4"/>
      <c r="X23" s="4"/>
      <c r="Y23" s="4"/>
      <c r="Z23" s="4"/>
    </row>
    <row r="24" spans="1:26" ht="22.5" customHeight="1">
      <c r="A24" s="266"/>
      <c r="B24" s="267"/>
      <c r="C24" s="269"/>
      <c r="D24" s="269"/>
      <c r="E24" s="274"/>
      <c r="F24" s="267"/>
      <c r="G24" s="269"/>
      <c r="H24" s="282"/>
      <c r="I24" s="270"/>
      <c r="J24" s="30"/>
      <c r="K24" s="4"/>
      <c r="L24" s="4"/>
      <c r="M24" s="4"/>
      <c r="N24" s="4"/>
      <c r="O24" s="4"/>
      <c r="P24" s="4"/>
      <c r="Q24" s="4"/>
      <c r="R24" s="4"/>
      <c r="S24" s="4"/>
      <c r="T24" s="4"/>
      <c r="U24" s="4"/>
      <c r="V24" s="4"/>
      <c r="W24" s="4"/>
      <c r="X24" s="4"/>
      <c r="Y24" s="4"/>
      <c r="Z24" s="4"/>
    </row>
    <row r="25" spans="1:26" ht="22.5" customHeight="1">
      <c r="A25" s="266"/>
      <c r="B25" s="267"/>
      <c r="C25" s="267"/>
      <c r="D25" s="269"/>
      <c r="E25" s="274"/>
      <c r="F25" s="267"/>
      <c r="G25" s="269"/>
      <c r="H25" s="282"/>
      <c r="I25" s="270"/>
      <c r="J25" s="30"/>
      <c r="K25" s="285"/>
      <c r="L25" s="4"/>
      <c r="M25" s="4"/>
      <c r="N25" s="4"/>
      <c r="O25" s="4"/>
      <c r="P25" s="4"/>
      <c r="Q25" s="4"/>
      <c r="R25" s="4"/>
      <c r="S25" s="4"/>
      <c r="T25" s="4"/>
      <c r="U25" s="4"/>
      <c r="V25" s="4"/>
      <c r="W25" s="4"/>
      <c r="X25" s="4"/>
      <c r="Y25" s="4"/>
      <c r="Z25" s="4"/>
    </row>
    <row r="26" spans="1:26" ht="22.5" customHeight="1">
      <c r="A26" s="266"/>
      <c r="B26" s="267"/>
      <c r="C26" s="267"/>
      <c r="D26" s="269"/>
      <c r="E26" s="274"/>
      <c r="F26" s="267"/>
      <c r="G26" s="269"/>
      <c r="H26" s="282"/>
      <c r="I26" s="270"/>
      <c r="J26" s="30"/>
      <c r="K26" s="286"/>
      <c r="L26" s="4"/>
      <c r="M26" s="4"/>
      <c r="N26" s="4"/>
      <c r="O26" s="4"/>
      <c r="P26" s="4"/>
      <c r="Q26" s="4"/>
      <c r="R26" s="4"/>
      <c r="S26" s="4"/>
      <c r="T26" s="4"/>
      <c r="U26" s="4"/>
      <c r="V26" s="4"/>
      <c r="W26" s="4"/>
      <c r="X26" s="4"/>
      <c r="Y26" s="4"/>
      <c r="Z26" s="4"/>
    </row>
    <row r="27" spans="1:26" ht="12.75" customHeight="1">
      <c r="A27" s="39" t="s">
        <v>39</v>
      </c>
      <c r="B27" s="40"/>
      <c r="C27" s="41"/>
      <c r="D27" s="42"/>
      <c r="E27" s="43"/>
      <c r="F27" s="41"/>
      <c r="G27" s="42"/>
      <c r="H27" s="282"/>
      <c r="I27" s="287"/>
      <c r="J27" s="30"/>
      <c r="K27" s="286"/>
      <c r="L27" s="4"/>
      <c r="M27" s="4"/>
      <c r="N27" s="4"/>
      <c r="O27" s="4"/>
      <c r="P27" s="4"/>
      <c r="Q27" s="4"/>
      <c r="R27" s="4"/>
      <c r="S27" s="4"/>
      <c r="T27" s="4"/>
      <c r="U27" s="4"/>
      <c r="V27" s="4"/>
      <c r="W27" s="4"/>
      <c r="X27" s="4"/>
      <c r="Y27" s="4"/>
      <c r="Z27" s="4"/>
    </row>
    <row r="28" spans="1:26" ht="12.75" customHeight="1">
      <c r="A28" s="288"/>
      <c r="B28" s="289"/>
      <c r="C28" s="290"/>
      <c r="D28" s="291"/>
      <c r="E28" s="292"/>
      <c r="F28" s="290"/>
      <c r="G28" s="291"/>
      <c r="H28" s="282"/>
      <c r="I28" s="287"/>
      <c r="J28" s="30"/>
      <c r="K28" s="4"/>
      <c r="L28" s="4"/>
      <c r="M28" s="4"/>
      <c r="N28" s="4"/>
      <c r="O28" s="4"/>
      <c r="P28" s="4"/>
      <c r="Q28" s="4"/>
      <c r="R28" s="4"/>
      <c r="S28" s="4"/>
      <c r="T28" s="4"/>
      <c r="U28" s="4"/>
      <c r="V28" s="4"/>
      <c r="W28" s="4"/>
      <c r="X28" s="4"/>
      <c r="Y28" s="4"/>
      <c r="Z28" s="4"/>
    </row>
    <row r="29" spans="1:26" ht="12.75" customHeight="1">
      <c r="A29" s="288" t="s">
        <v>0</v>
      </c>
      <c r="B29" s="289"/>
      <c r="C29" s="290"/>
      <c r="D29" s="290"/>
      <c r="E29" s="290"/>
      <c r="F29" s="290"/>
      <c r="G29" s="44"/>
      <c r="H29" s="282"/>
      <c r="I29" s="45"/>
      <c r="J29" s="30"/>
      <c r="K29" s="4"/>
      <c r="L29" s="4"/>
      <c r="M29" s="4"/>
      <c r="N29" s="4"/>
      <c r="O29" s="4"/>
      <c r="P29" s="4"/>
      <c r="Q29" s="4"/>
      <c r="R29" s="4"/>
      <c r="S29" s="4"/>
      <c r="T29" s="4"/>
      <c r="U29" s="4"/>
      <c r="V29" s="4"/>
      <c r="W29" s="4"/>
      <c r="X29" s="4"/>
      <c r="Y29" s="4"/>
      <c r="Z29" s="4"/>
    </row>
    <row r="30" spans="1:26" ht="12.75" customHeight="1">
      <c r="A30" s="46" t="s">
        <v>40</v>
      </c>
      <c r="B30" s="34">
        <f t="shared" ref="B30:G30" si="2">SUM(B18:B26)</f>
        <v>0.25</v>
      </c>
      <c r="C30" s="34">
        <f t="shared" si="2"/>
        <v>1.55</v>
      </c>
      <c r="D30" s="34">
        <f t="shared" si="2"/>
        <v>2.0499999999999998</v>
      </c>
      <c r="E30" s="34">
        <f t="shared" si="2"/>
        <v>3.33</v>
      </c>
      <c r="F30" s="34">
        <f t="shared" si="2"/>
        <v>4.95</v>
      </c>
      <c r="G30" s="34">
        <f t="shared" si="2"/>
        <v>5.7</v>
      </c>
      <c r="H30" s="258"/>
      <c r="I30" s="258"/>
      <c r="J30" s="27"/>
      <c r="K30" s="4"/>
      <c r="L30" s="47"/>
      <c r="M30" s="4"/>
      <c r="N30" s="4"/>
      <c r="O30" s="4"/>
      <c r="P30" s="4"/>
      <c r="Q30" s="4"/>
      <c r="R30" s="4"/>
      <c r="S30" s="4"/>
      <c r="T30" s="4"/>
      <c r="U30" s="4"/>
      <c r="V30" s="4"/>
      <c r="W30" s="277"/>
      <c r="X30" s="277"/>
      <c r="Y30" s="277"/>
      <c r="Z30" s="277"/>
    </row>
    <row r="31" spans="1:26" ht="12.75" customHeight="1">
      <c r="A31" s="278"/>
      <c r="B31" s="258"/>
      <c r="C31" s="258"/>
      <c r="D31" s="258"/>
      <c r="E31" s="258"/>
      <c r="F31" s="258"/>
      <c r="G31" s="258"/>
      <c r="H31" s="258"/>
      <c r="I31" s="258"/>
      <c r="J31" s="27"/>
      <c r="K31" s="4"/>
      <c r="L31" s="4"/>
      <c r="M31" s="4"/>
      <c r="N31" s="4"/>
      <c r="O31" s="4"/>
      <c r="P31" s="4"/>
      <c r="Q31" s="4"/>
      <c r="R31" s="4"/>
      <c r="S31" s="4"/>
      <c r="T31" s="4"/>
      <c r="U31" s="4"/>
      <c r="V31" s="4"/>
      <c r="W31" s="4"/>
      <c r="X31" s="4"/>
      <c r="Y31" s="4"/>
      <c r="Z31" s="4"/>
    </row>
    <row r="32" spans="1:26" ht="12.75" customHeight="1">
      <c r="A32" s="48" t="s">
        <v>41</v>
      </c>
      <c r="B32" s="48">
        <f>(SUMPRODUCT(B6:B14,$I6:$I14))+(SUMPRODUCT(B18:B29,$I18:$I29))</f>
        <v>17500</v>
      </c>
      <c r="C32" s="48">
        <f>(SUMPRODUCT(C6:C14,$I6:$I14)*(1+$I32))+(SUMPRODUCT(C18:C29,$I18:$I29)*(1+$I32))</f>
        <v>488580</v>
      </c>
      <c r="D32" s="48">
        <f>(SUMPRODUCT(D6:D14,$I6:$I14)*(1+($I32*2))+(SUMPRODUCT(D18:D29,$I18:$I29)*(1+($I32*2))))</f>
        <v>622960</v>
      </c>
      <c r="E32" s="48">
        <f>(SUMPRODUCT(E6:E14,$I6:$I14)*(1+($I32*3))+(SUMPRODUCT(E18:E29,$I18:$I29)*(1+($I32*3))))</f>
        <v>1002336</v>
      </c>
      <c r="F32" s="48">
        <f>(SUMPRODUCT(F6:F14,$I6:$I14)*(1+($I32*4))+(SUMPRODUCT(F18:F29,$I18:$I29)*(1+($I32*4))))</f>
        <v>1143720</v>
      </c>
      <c r="G32" s="48">
        <f>(SUMPRODUCT(G6:G14,$I6:$I14)*(1+($I32*5))+(SUMPRODUCT(G18:G29,$I18:$I29)*(1+($I32*5))))</f>
        <v>1405525</v>
      </c>
      <c r="H32" s="268"/>
      <c r="I32" s="293">
        <v>0.02</v>
      </c>
      <c r="J32" s="49"/>
      <c r="K32" s="50" t="s">
        <v>42</v>
      </c>
      <c r="L32" s="31"/>
      <c r="M32" s="31"/>
      <c r="N32" s="31"/>
      <c r="O32" s="31"/>
      <c r="P32" s="31"/>
      <c r="Q32" s="31"/>
      <c r="R32" s="31"/>
      <c r="S32" s="31"/>
      <c r="T32" s="31"/>
      <c r="U32" s="31"/>
      <c r="V32" s="31"/>
      <c r="W32" s="31"/>
      <c r="X32" s="31"/>
      <c r="Y32" s="31"/>
      <c r="Z32" s="31"/>
    </row>
    <row r="33" spans="1:26" ht="12.75" customHeight="1">
      <c r="A33" s="278"/>
      <c r="B33" s="294"/>
      <c r="C33" s="294"/>
      <c r="D33" s="294"/>
      <c r="E33" s="294"/>
      <c r="F33" s="294"/>
      <c r="G33" s="294"/>
      <c r="H33" s="258"/>
      <c r="I33" s="258" t="s">
        <v>43</v>
      </c>
      <c r="J33" s="27"/>
      <c r="K33" s="4"/>
      <c r="L33" s="4"/>
      <c r="M33" s="4"/>
      <c r="N33" s="4"/>
      <c r="O33" s="4"/>
      <c r="P33" s="4"/>
      <c r="Q33" s="4"/>
      <c r="R33" s="4"/>
      <c r="S33" s="4"/>
      <c r="T33" s="4"/>
      <c r="U33" s="4"/>
      <c r="V33" s="4"/>
      <c r="W33" s="4"/>
      <c r="X33" s="4"/>
      <c r="Y33" s="4"/>
      <c r="Z33" s="4"/>
    </row>
    <row r="34" spans="1:26" ht="12.75" customHeight="1">
      <c r="A34" s="278"/>
      <c r="B34" s="258"/>
      <c r="C34" s="258"/>
      <c r="D34" s="258"/>
      <c r="E34" s="258"/>
      <c r="F34" s="258"/>
      <c r="G34" s="258"/>
      <c r="H34" s="258"/>
      <c r="I34" s="258"/>
      <c r="J34" s="27"/>
      <c r="K34" s="4"/>
      <c r="L34" s="4"/>
      <c r="M34" s="4"/>
      <c r="N34" s="4"/>
      <c r="O34" s="4"/>
      <c r="P34" s="4"/>
      <c r="Q34" s="4"/>
      <c r="R34" s="4"/>
      <c r="S34" s="4"/>
      <c r="T34" s="4"/>
      <c r="U34" s="4"/>
      <c r="V34" s="4"/>
      <c r="W34" s="4"/>
      <c r="X34" s="4"/>
      <c r="Y34" s="4"/>
      <c r="Z34" s="4"/>
    </row>
    <row r="35" spans="1:26" ht="12.75" customHeight="1">
      <c r="A35" s="33" t="s">
        <v>44</v>
      </c>
      <c r="B35" s="51">
        <f>B15</f>
        <v>0</v>
      </c>
      <c r="C35" s="51">
        <f t="shared" ref="C35:G35" si="3">C15-C14</f>
        <v>8</v>
      </c>
      <c r="D35" s="51">
        <f t="shared" si="3"/>
        <v>10</v>
      </c>
      <c r="E35" s="51">
        <f t="shared" si="3"/>
        <v>16</v>
      </c>
      <c r="F35" s="51">
        <f t="shared" si="3"/>
        <v>17</v>
      </c>
      <c r="G35" s="51">
        <f t="shared" si="3"/>
        <v>21</v>
      </c>
      <c r="H35" s="258"/>
      <c r="I35" s="258"/>
      <c r="J35" s="27"/>
      <c r="K35" s="4"/>
      <c r="L35" s="4"/>
      <c r="M35" s="4"/>
      <c r="N35" s="4"/>
      <c r="O35" s="4"/>
      <c r="P35" s="4"/>
      <c r="Q35" s="4"/>
      <c r="R35" s="4"/>
      <c r="S35" s="4"/>
      <c r="T35" s="4"/>
      <c r="U35" s="4"/>
      <c r="V35" s="4"/>
      <c r="W35" s="4"/>
      <c r="X35" s="4"/>
      <c r="Y35" s="4"/>
      <c r="Z35" s="4"/>
    </row>
    <row r="36" spans="1:26" ht="12.75" customHeight="1">
      <c r="A36" s="52" t="s">
        <v>45</v>
      </c>
      <c r="B36" s="53">
        <f t="shared" ref="B36:G36" si="4">B30</f>
        <v>0.25</v>
      </c>
      <c r="C36" s="53">
        <f t="shared" si="4"/>
        <v>1.55</v>
      </c>
      <c r="D36" s="53">
        <f t="shared" si="4"/>
        <v>2.0499999999999998</v>
      </c>
      <c r="E36" s="53">
        <f t="shared" si="4"/>
        <v>3.33</v>
      </c>
      <c r="F36" s="53">
        <f t="shared" si="4"/>
        <v>4.95</v>
      </c>
      <c r="G36" s="53">
        <f t="shared" si="4"/>
        <v>5.7</v>
      </c>
      <c r="H36" s="258"/>
      <c r="I36" s="258"/>
      <c r="J36" s="27"/>
      <c r="K36" s="4"/>
      <c r="L36" s="4"/>
      <c r="M36" s="4"/>
      <c r="N36" s="4"/>
      <c r="O36" s="4"/>
      <c r="P36" s="4"/>
      <c r="Q36" s="4"/>
      <c r="R36" s="4"/>
      <c r="S36" s="4"/>
      <c r="T36" s="4"/>
      <c r="U36" s="4"/>
      <c r="V36" s="4"/>
      <c r="W36" s="4"/>
      <c r="X36" s="4"/>
      <c r="Y36" s="4"/>
      <c r="Z36" s="4"/>
    </row>
    <row r="37" spans="1:26" ht="12.75" customHeight="1">
      <c r="A37" s="54" t="s">
        <v>46</v>
      </c>
      <c r="B37" s="55">
        <f t="shared" ref="B37:G37" si="5">SUM(B35:B36)</f>
        <v>0.25</v>
      </c>
      <c r="C37" s="55">
        <f t="shared" si="5"/>
        <v>9.5500000000000007</v>
      </c>
      <c r="D37" s="55">
        <f t="shared" si="5"/>
        <v>12.05</v>
      </c>
      <c r="E37" s="55">
        <f t="shared" si="5"/>
        <v>19.329999999999998</v>
      </c>
      <c r="F37" s="55">
        <f t="shared" si="5"/>
        <v>21.95</v>
      </c>
      <c r="G37" s="55">
        <f t="shared" si="5"/>
        <v>26.7</v>
      </c>
      <c r="H37" s="258"/>
      <c r="I37" s="258"/>
      <c r="J37" s="27"/>
      <c r="K37" s="4"/>
      <c r="L37" s="4"/>
      <c r="M37" s="4"/>
      <c r="N37" s="4"/>
      <c r="O37" s="4"/>
      <c r="P37" s="4"/>
      <c r="Q37" s="4"/>
      <c r="R37" s="4"/>
      <c r="S37" s="4"/>
      <c r="T37" s="4"/>
      <c r="U37" s="4"/>
      <c r="V37" s="4"/>
      <c r="W37" s="4"/>
      <c r="X37" s="4"/>
      <c r="Y37" s="4"/>
      <c r="Z37" s="4"/>
    </row>
    <row r="38" spans="1:26" ht="13.5" customHeight="1">
      <c r="A38" s="264"/>
      <c r="B38" s="258"/>
      <c r="C38" s="258"/>
      <c r="D38" s="258"/>
      <c r="E38" s="258"/>
      <c r="F38" s="258"/>
      <c r="G38" s="258"/>
      <c r="H38" s="258"/>
      <c r="I38" s="258"/>
      <c r="J38" s="27"/>
      <c r="K38" s="4"/>
      <c r="L38" s="4"/>
      <c r="M38" s="4"/>
      <c r="N38" s="4"/>
      <c r="O38" s="4"/>
      <c r="P38" s="4"/>
      <c r="Q38" s="4"/>
      <c r="R38" s="4"/>
      <c r="S38" s="4"/>
      <c r="T38" s="4"/>
      <c r="U38" s="4"/>
      <c r="V38" s="4"/>
      <c r="W38" s="4"/>
      <c r="X38" s="4"/>
      <c r="Y38" s="4"/>
      <c r="Z38" s="4"/>
    </row>
    <row r="39" spans="1:26" ht="12.75" customHeight="1">
      <c r="A39" s="278" t="s">
        <v>47</v>
      </c>
      <c r="B39" s="295"/>
      <c r="C39" s="295" t="str">
        <f t="shared" ref="C39:G39" si="6">(ROUND(C5/(C35),0)&amp;":1")</f>
        <v>9:1</v>
      </c>
      <c r="D39" s="295" t="str">
        <f t="shared" si="6"/>
        <v>10:1</v>
      </c>
      <c r="E39" s="295" t="str">
        <f t="shared" si="6"/>
        <v>9:1</v>
      </c>
      <c r="F39" s="295" t="str">
        <f t="shared" si="6"/>
        <v>9:1</v>
      </c>
      <c r="G39" s="295" t="str">
        <f t="shared" si="6"/>
        <v>9:1</v>
      </c>
      <c r="H39" s="258"/>
      <c r="I39" s="258"/>
      <c r="J39" s="27"/>
      <c r="K39" s="4"/>
      <c r="L39" s="4"/>
      <c r="M39" s="4"/>
      <c r="N39" s="4"/>
      <c r="O39" s="4"/>
      <c r="P39" s="4"/>
      <c r="Q39" s="4"/>
      <c r="R39" s="4"/>
      <c r="S39" s="4"/>
      <c r="T39" s="4"/>
      <c r="U39" s="4"/>
      <c r="V39" s="4"/>
      <c r="W39" s="4"/>
      <c r="X39" s="4"/>
      <c r="Y39" s="4"/>
      <c r="Z39" s="4"/>
    </row>
    <row r="40" spans="1:26" ht="12.75" customHeight="1">
      <c r="A40" s="278" t="s">
        <v>48</v>
      </c>
      <c r="B40" s="295"/>
      <c r="C40" s="295" t="str">
        <f t="shared" ref="C40:G40" si="7">(ROUND(C5/(C37),0)&amp;":1")</f>
        <v>8:1</v>
      </c>
      <c r="D40" s="295" t="str">
        <f t="shared" si="7"/>
        <v>8:1</v>
      </c>
      <c r="E40" s="295" t="str">
        <f t="shared" si="7"/>
        <v>7:1</v>
      </c>
      <c r="F40" s="295" t="str">
        <f t="shared" si="7"/>
        <v>7:1</v>
      </c>
      <c r="G40" s="295" t="str">
        <f t="shared" si="7"/>
        <v>7:1</v>
      </c>
      <c r="H40" s="258"/>
      <c r="I40" s="258"/>
      <c r="J40" s="27"/>
      <c r="K40" s="4"/>
      <c r="L40" s="4"/>
      <c r="M40" s="4"/>
      <c r="N40" s="4"/>
      <c r="O40" s="4"/>
      <c r="P40" s="4"/>
      <c r="Q40" s="4"/>
      <c r="R40" s="4"/>
      <c r="S40" s="4"/>
      <c r="T40" s="4"/>
      <c r="U40" s="4"/>
      <c r="V40" s="4"/>
      <c r="W40" s="4"/>
      <c r="X40" s="4"/>
      <c r="Y40" s="4"/>
      <c r="Z40" s="4"/>
    </row>
    <row r="41" spans="1:26" ht="21.75" customHeight="1">
      <c r="A41" s="56"/>
      <c r="B41" s="259"/>
      <c r="C41" s="259"/>
      <c r="D41" s="259"/>
      <c r="E41" s="259"/>
      <c r="F41" s="259"/>
      <c r="G41" s="259"/>
      <c r="H41" s="259"/>
      <c r="I41" s="259"/>
      <c r="J41" s="57"/>
      <c r="K41" s="4"/>
      <c r="L41" s="4"/>
      <c r="M41" s="4"/>
      <c r="N41" s="4"/>
      <c r="O41" s="4"/>
      <c r="P41" s="4"/>
      <c r="Q41" s="4"/>
      <c r="R41" s="4"/>
      <c r="S41" s="4"/>
      <c r="T41" s="4"/>
      <c r="U41" s="4"/>
      <c r="V41" s="4"/>
      <c r="W41" s="4"/>
      <c r="X41" s="4"/>
      <c r="Y41" s="4"/>
      <c r="Z41" s="4"/>
    </row>
    <row r="42" spans="1:26" ht="12.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2.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2.75" customHeight="1">
      <c r="A44" s="4" t="s">
        <v>49</v>
      </c>
      <c r="B44" s="58">
        <f>((B6*$I$6)+(B7*$I$7)+(B9*$I$9)+(B10*$I$10)+(B11*$I$11)+(B12*$I$12))</f>
        <v>0</v>
      </c>
      <c r="C44" s="58">
        <f>((C6*$I$6)+(C7*$I$7)+(C8*$I$8)+(C9*$I$9)+(C10*$I$10)+(C11*$I$11)+(C12*$I$12))*(1+$I$32)</f>
        <v>397800</v>
      </c>
      <c r="D44" s="58">
        <f>((D6*$I$6)+(D7*$I$7)+(D8*$I$8)+(D9*$I$9)+(D10*$I$10)+(D11*$I$11)+(D12*$I$12))*(1+($I32*2))</f>
        <v>499200</v>
      </c>
      <c r="E44" s="58">
        <f>((E6*$I$6)+(E7*$I$7)+(E8*$I$8)+(E9*$I$9)+(E10*$I$10)+(E11*$I$11)+(E12*$I$12))*(1+($I32*3))</f>
        <v>795000</v>
      </c>
      <c r="F44" s="58">
        <f>((F6*$I$6)+(F7*$I$7)+(F8*$I$8)+(F9*$I$9)+(F10*$I$10)+(F11*$I$11)+(F12*$I$12))*(1+($I32*4))</f>
        <v>842400</v>
      </c>
      <c r="G44" s="58">
        <f>((G6*$I$6)+(G7*$I$7)+(G8*$I$8)+(G9*$I$9)+(G10*$I$10)+(G11*$I$11)+(G12*$I$12))*(1+($I32*5))</f>
        <v>1056000</v>
      </c>
      <c r="H44" s="4"/>
      <c r="I44" s="4"/>
      <c r="J44" s="4"/>
      <c r="K44" s="4"/>
      <c r="L44" s="4"/>
      <c r="M44" s="4"/>
      <c r="N44" s="4"/>
      <c r="O44" s="4"/>
      <c r="P44" s="4"/>
      <c r="Q44" s="4"/>
      <c r="R44" s="4"/>
      <c r="S44" s="4"/>
      <c r="T44" s="4"/>
      <c r="U44" s="4"/>
      <c r="V44" s="4"/>
      <c r="W44" s="4"/>
      <c r="X44" s="4"/>
      <c r="Y44" s="4"/>
      <c r="Z44" s="4"/>
    </row>
    <row r="45" spans="1:26" ht="12.75" customHeight="1">
      <c r="A45" s="4" t="s">
        <v>50</v>
      </c>
      <c r="B45" s="58">
        <f>((B18*$I$18)+(B19*$I$19)+(B20*$I$20)+(B21*$I$21)+(B22*$I$22)+(B23*$I$23)+(B24*$I$24))</f>
        <v>17500</v>
      </c>
      <c r="C45" s="58">
        <f>((C18*$I$18)+(C19*$I$19)+(C20*$I$20)+(C21*$I$21)+(C22*$I$22)+(C23*$I$23)+(C24*$I$24))*(1+$I$32)</f>
        <v>90780</v>
      </c>
      <c r="D45" s="58">
        <f>((D18*$I$18)+(D19*$I$19)+(D20*$I$20)+(D21*$I$21)+(D22*$I$22)+(D23*$I$23)+(D24*$I$24))*(1+($I32*2))</f>
        <v>123760</v>
      </c>
      <c r="E45" s="58">
        <f>((E18*$I$18)+(E19*$I$19)+(E20*$I$20)+(E21*$I$21)+(E22*$I$22)+(E23*$I$23)+(E24*$I$24))*(1+($I32*3))</f>
        <v>207336</v>
      </c>
      <c r="F45" s="58">
        <f>((F18*$I$18)+(F19*$I$19)+(F20*$I$20)+(F21*$I$21)+(F22*$I$22)+(F23*$I$23)+(F24*$I$24))*(1+($I32*4))</f>
        <v>301320</v>
      </c>
      <c r="G45" s="58">
        <f>((G18*$I$18)+(G19*$I$19)+(G20*$I$20)+(G21*$I$21)+(G22*$I$22)+(G23*$I$23)+(G24*$I$24))*(1+($I32*5))</f>
        <v>349525</v>
      </c>
      <c r="H45" s="4"/>
      <c r="I45" s="4"/>
      <c r="J45" s="4"/>
      <c r="K45" s="4"/>
      <c r="L45" s="4"/>
      <c r="M45" s="4"/>
      <c r="N45" s="4"/>
      <c r="O45" s="4"/>
      <c r="P45" s="4"/>
      <c r="Q45" s="4"/>
      <c r="R45" s="4"/>
      <c r="S45" s="4"/>
      <c r="T45" s="4"/>
      <c r="U45" s="4"/>
      <c r="V45" s="4"/>
      <c r="W45" s="4"/>
      <c r="X45" s="4"/>
      <c r="Y45" s="4"/>
      <c r="Z45" s="4"/>
    </row>
    <row r="46" spans="1:26" ht="12.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2.75" customHeight="1">
      <c r="A47" s="4" t="s">
        <v>51</v>
      </c>
      <c r="B47" s="58">
        <f t="shared" ref="B47:G47" si="8">B32-SUM(B44:B45)</f>
        <v>0</v>
      </c>
      <c r="C47" s="58">
        <f t="shared" si="8"/>
        <v>0</v>
      </c>
      <c r="D47" s="58">
        <f t="shared" si="8"/>
        <v>0</v>
      </c>
      <c r="E47" s="58">
        <f t="shared" si="8"/>
        <v>0</v>
      </c>
      <c r="F47" s="58">
        <f t="shared" si="8"/>
        <v>0</v>
      </c>
      <c r="G47" s="58">
        <f t="shared" si="8"/>
        <v>0</v>
      </c>
      <c r="H47" s="4"/>
      <c r="I47" s="4"/>
      <c r="J47" s="4"/>
      <c r="K47" s="4"/>
      <c r="L47" s="4"/>
      <c r="M47" s="4"/>
      <c r="N47" s="4"/>
      <c r="O47" s="4"/>
      <c r="P47" s="4"/>
      <c r="Q47" s="4"/>
      <c r="R47" s="4"/>
      <c r="S47" s="4"/>
      <c r="T47" s="4"/>
      <c r="U47" s="4"/>
      <c r="V47" s="4"/>
      <c r="W47" s="4"/>
      <c r="X47" s="4"/>
      <c r="Y47" s="4"/>
      <c r="Z47" s="4"/>
    </row>
    <row r="48" spans="1:26"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
    <mergeCell ref="I4:I5"/>
    <mergeCell ref="K25:K27"/>
  </mergeCells>
  <printOptions horizontalCentered="1"/>
  <pageMargins left="0.40972222222222199" right="0.22986111111111099" top="0.37986111111111098" bottom="0.40972222222222199" header="0" footer="0"/>
  <pageSetup fitToWidth="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73"/>
  <sheetViews>
    <sheetView workbookViewId="0"/>
  </sheetViews>
  <sheetFormatPr defaultColWidth="12.5703125" defaultRowHeight="15" customHeight="1" outlineLevelCol="1"/>
  <cols>
    <col min="1" max="1" width="40.140625" customWidth="1"/>
    <col min="2" max="6" width="14.140625" customWidth="1" outlineLevel="1"/>
    <col min="7" max="7" width="17" customWidth="1" outlineLevel="1"/>
    <col min="8" max="8" width="7.42578125" hidden="1" customWidth="1" outlineLevel="1"/>
    <col min="9" max="9" width="17.42578125" hidden="1" customWidth="1" outlineLevel="1"/>
    <col min="10" max="10" width="33.140625" hidden="1" customWidth="1" outlineLevel="1"/>
    <col min="11" max="11" width="35.42578125" hidden="1" customWidth="1" outlineLevel="1"/>
    <col min="12" max="12" width="64.42578125" hidden="1" customWidth="1"/>
    <col min="13" max="13" width="11.42578125" hidden="1" customWidth="1"/>
    <col min="14" max="26" width="8.5703125" hidden="1" customWidth="1"/>
  </cols>
  <sheetData>
    <row r="1" spans="1:26" ht="21" customHeight="1">
      <c r="A1" s="18">
        <f>'Cover Page'!A17:H17</f>
        <v>0</v>
      </c>
      <c r="B1" s="4"/>
      <c r="C1" s="4"/>
      <c r="D1" s="4"/>
      <c r="E1" s="4"/>
      <c r="F1" s="4"/>
      <c r="G1" s="4"/>
      <c r="I1" s="4"/>
      <c r="J1" s="4"/>
      <c r="K1" s="4"/>
      <c r="L1" s="59"/>
      <c r="M1" s="4"/>
      <c r="N1" s="4"/>
      <c r="O1" s="4"/>
      <c r="P1" s="4"/>
      <c r="Q1" s="4"/>
      <c r="R1" s="4"/>
      <c r="S1" s="4"/>
      <c r="T1" s="4"/>
      <c r="U1" s="4"/>
      <c r="V1" s="4"/>
      <c r="W1" s="4"/>
      <c r="X1" s="4"/>
      <c r="Y1" s="4"/>
      <c r="Z1" s="4"/>
    </row>
    <row r="2" spans="1:26" ht="18.600000000000001">
      <c r="A2" s="18" t="s">
        <v>52</v>
      </c>
      <c r="B2" s="4"/>
      <c r="C2" s="60" t="s">
        <v>0</v>
      </c>
      <c r="D2" s="4"/>
      <c r="E2" s="4"/>
      <c r="F2" s="4"/>
      <c r="G2" s="4"/>
      <c r="I2" s="4"/>
      <c r="J2" s="4"/>
      <c r="K2" s="4"/>
      <c r="L2" s="59"/>
      <c r="M2" s="4"/>
      <c r="N2" s="4"/>
      <c r="O2" s="4"/>
      <c r="P2" s="4"/>
      <c r="Q2" s="4"/>
      <c r="R2" s="4"/>
      <c r="S2" s="4"/>
      <c r="T2" s="4"/>
      <c r="U2" s="4"/>
      <c r="V2" s="4"/>
      <c r="W2" s="4"/>
      <c r="X2" s="4"/>
      <c r="Y2" s="4"/>
      <c r="Z2" s="4"/>
    </row>
    <row r="3" spans="1:26" ht="12.75" customHeight="1">
      <c r="A3" s="4"/>
      <c r="B3" s="4"/>
      <c r="C3" s="60"/>
      <c r="D3" s="4"/>
      <c r="E3" s="4"/>
      <c r="F3" s="4"/>
      <c r="G3" s="4"/>
      <c r="I3" s="4"/>
      <c r="J3" s="4"/>
      <c r="K3" s="4"/>
      <c r="L3" s="59"/>
      <c r="M3" s="4"/>
      <c r="N3" s="4"/>
      <c r="O3" s="4"/>
      <c r="P3" s="4"/>
      <c r="Q3" s="4"/>
      <c r="R3" s="4"/>
      <c r="S3" s="4"/>
      <c r="T3" s="4"/>
      <c r="U3" s="4"/>
      <c r="V3" s="4"/>
      <c r="W3" s="4"/>
      <c r="X3" s="4"/>
      <c r="Y3" s="4"/>
      <c r="Z3" s="4"/>
    </row>
    <row r="4" spans="1:26" ht="12.75" customHeight="1">
      <c r="A4" s="31" t="s">
        <v>53</v>
      </c>
      <c r="B4" s="20" t="str">
        <f>'Page 10-6 yr Budget-detail'!B4</f>
        <v>YEAR 0</v>
      </c>
      <c r="C4" s="20" t="str">
        <f>'Page 10-6 yr Budget-detail'!C4</f>
        <v>YEAR 1</v>
      </c>
      <c r="D4" s="20" t="str">
        <f>'Page 10-6 yr Budget-detail'!D4</f>
        <v>YEAR 2</v>
      </c>
      <c r="E4" s="20" t="str">
        <f>'Page 10-6 yr Budget-detail'!E4</f>
        <v>YEAR 3</v>
      </c>
      <c r="F4" s="20" t="str">
        <f>'Page 10-6 yr Budget-detail'!F4</f>
        <v>YEAR 4</v>
      </c>
      <c r="G4" s="20" t="str">
        <f>'Page 10-6 yr Budget-detail'!G4</f>
        <v>YEAR 5</v>
      </c>
      <c r="I4" s="296" t="s">
        <v>54</v>
      </c>
      <c r="J4" s="253"/>
      <c r="K4" s="61" t="s">
        <v>55</v>
      </c>
      <c r="L4" s="62" t="s">
        <v>56</v>
      </c>
      <c r="M4" s="4"/>
      <c r="N4" s="4"/>
      <c r="O4" s="4"/>
      <c r="P4" s="4"/>
      <c r="Q4" s="4"/>
      <c r="R4" s="4"/>
      <c r="S4" s="4"/>
      <c r="T4" s="4"/>
      <c r="U4" s="4"/>
      <c r="V4" s="4"/>
      <c r="W4" s="4"/>
      <c r="X4" s="4"/>
      <c r="Y4" s="4"/>
      <c r="Z4" s="4"/>
    </row>
    <row r="5" spans="1:26" ht="12.75" customHeight="1">
      <c r="A5" s="63" t="s">
        <v>57</v>
      </c>
      <c r="B5" s="64">
        <v>9039.7199999999993</v>
      </c>
      <c r="C5" s="64">
        <f>$I$5</f>
        <v>9265.7129999999979</v>
      </c>
      <c r="D5" s="64">
        <f t="shared" ref="D5:G5" si="0">C5*1.025</f>
        <v>9497.3558249999969</v>
      </c>
      <c r="E5" s="64">
        <f t="shared" si="0"/>
        <v>9734.7897206249963</v>
      </c>
      <c r="F5" s="64">
        <f t="shared" si="0"/>
        <v>9978.1594636406207</v>
      </c>
      <c r="G5" s="64">
        <f t="shared" si="0"/>
        <v>10227.613450231634</v>
      </c>
      <c r="I5" s="65">
        <f>9039.72*1.025</f>
        <v>9265.7129999999979</v>
      </c>
      <c r="J5" s="66" t="s">
        <v>58</v>
      </c>
      <c r="K5" s="67" t="s">
        <v>58</v>
      </c>
      <c r="L5" s="68" t="s">
        <v>59</v>
      </c>
      <c r="M5" s="4"/>
      <c r="N5" s="4"/>
      <c r="O5" s="4"/>
      <c r="P5" s="4"/>
      <c r="Q5" s="4"/>
      <c r="R5" s="4"/>
      <c r="S5" s="4"/>
      <c r="T5" s="4"/>
      <c r="U5" s="4"/>
      <c r="V5" s="4"/>
      <c r="W5" s="4"/>
      <c r="X5" s="4"/>
      <c r="Y5" s="4"/>
      <c r="Z5" s="4"/>
    </row>
    <row r="6" spans="1:26" ht="33" customHeight="1">
      <c r="A6" s="297" t="s">
        <v>60</v>
      </c>
      <c r="B6" s="64">
        <v>0</v>
      </c>
      <c r="C6" s="64">
        <f t="shared" ref="C6:G6" si="1">C5*C7*0.5</f>
        <v>0</v>
      </c>
      <c r="D6" s="64">
        <f t="shared" si="1"/>
        <v>0</v>
      </c>
      <c r="E6" s="64">
        <f t="shared" si="1"/>
        <v>48673.948603124983</v>
      </c>
      <c r="F6" s="64">
        <f t="shared" si="1"/>
        <v>94792.5149045859</v>
      </c>
      <c r="G6" s="64">
        <f t="shared" si="1"/>
        <v>97162.327777200524</v>
      </c>
      <c r="I6" s="69">
        <f>I5*0.5</f>
        <v>4632.856499999999</v>
      </c>
      <c r="J6" s="66" t="s">
        <v>61</v>
      </c>
      <c r="K6" s="67" t="s">
        <v>62</v>
      </c>
      <c r="L6" s="68" t="s">
        <v>63</v>
      </c>
      <c r="M6" s="4"/>
      <c r="N6" s="4"/>
      <c r="O6" s="4"/>
      <c r="P6" s="4"/>
      <c r="Q6" s="4"/>
      <c r="R6" s="4"/>
      <c r="S6" s="4"/>
      <c r="T6" s="4"/>
      <c r="U6" s="4"/>
      <c r="V6" s="4"/>
      <c r="W6" s="4"/>
      <c r="X6" s="4"/>
      <c r="Y6" s="4"/>
      <c r="Z6" s="4"/>
    </row>
    <row r="7" spans="1:26" ht="25.5" customHeight="1">
      <c r="A7" s="70" t="s">
        <v>64</v>
      </c>
      <c r="B7" s="71"/>
      <c r="C7" s="71">
        <v>0</v>
      </c>
      <c r="D7" s="72">
        <v>0</v>
      </c>
      <c r="E7" s="72">
        <v>10</v>
      </c>
      <c r="F7" s="72">
        <v>19</v>
      </c>
      <c r="G7" s="72">
        <v>19</v>
      </c>
      <c r="H7" s="73"/>
      <c r="I7" s="74" t="s">
        <v>65</v>
      </c>
      <c r="J7" s="75"/>
      <c r="K7" s="67" t="s">
        <v>66</v>
      </c>
      <c r="L7" s="68"/>
      <c r="M7" s="73"/>
      <c r="N7" s="73"/>
      <c r="O7" s="73"/>
      <c r="P7" s="73"/>
      <c r="Q7" s="73"/>
      <c r="R7" s="73"/>
      <c r="S7" s="73"/>
      <c r="T7" s="73"/>
      <c r="U7" s="73"/>
      <c r="V7" s="73"/>
      <c r="W7" s="73"/>
      <c r="X7" s="73"/>
      <c r="Y7" s="73"/>
      <c r="Z7" s="73"/>
    </row>
    <row r="8" spans="1:26" ht="12.75" customHeight="1">
      <c r="A8" s="63" t="s">
        <v>67</v>
      </c>
      <c r="B8" s="64">
        <v>0</v>
      </c>
      <c r="C8" s="76">
        <f>I8</f>
        <v>300</v>
      </c>
      <c r="D8" s="76">
        <f t="shared" ref="D8:G8" si="2">C8*0.99</f>
        <v>297</v>
      </c>
      <c r="E8" s="76">
        <f t="shared" si="2"/>
        <v>294.02999999999997</v>
      </c>
      <c r="F8" s="76">
        <f t="shared" si="2"/>
        <v>291.08969999999999</v>
      </c>
      <c r="G8" s="76">
        <f t="shared" si="2"/>
        <v>288.17880300000002</v>
      </c>
      <c r="I8" s="77">
        <v>300</v>
      </c>
      <c r="J8" s="66" t="s">
        <v>58</v>
      </c>
      <c r="K8" s="67" t="s">
        <v>62</v>
      </c>
      <c r="L8" s="68" t="s">
        <v>68</v>
      </c>
      <c r="M8" s="4"/>
      <c r="N8" s="4"/>
      <c r="O8" s="4"/>
      <c r="P8" s="4"/>
      <c r="Q8" s="4"/>
      <c r="R8" s="4"/>
      <c r="S8" s="4"/>
      <c r="T8" s="4"/>
      <c r="U8" s="4"/>
      <c r="V8" s="4"/>
      <c r="W8" s="4"/>
      <c r="X8" s="4"/>
      <c r="Y8" s="4"/>
      <c r="Z8" s="4"/>
    </row>
    <row r="9" spans="1:26" ht="33" customHeight="1">
      <c r="A9" s="63" t="s">
        <v>69</v>
      </c>
      <c r="B9" s="64">
        <v>0</v>
      </c>
      <c r="C9" s="64">
        <f t="shared" ref="C9:G9" si="3">C10*$I$9</f>
        <v>8624</v>
      </c>
      <c r="D9" s="64">
        <f t="shared" si="3"/>
        <v>11088</v>
      </c>
      <c r="E9" s="64">
        <f t="shared" si="3"/>
        <v>13552</v>
      </c>
      <c r="F9" s="64">
        <f t="shared" si="3"/>
        <v>19712</v>
      </c>
      <c r="G9" s="64">
        <f t="shared" si="3"/>
        <v>20944</v>
      </c>
      <c r="I9" s="78">
        <v>1232</v>
      </c>
      <c r="J9" s="66" t="s">
        <v>70</v>
      </c>
      <c r="K9" s="67" t="s">
        <v>62</v>
      </c>
      <c r="L9" s="68" t="s">
        <v>71</v>
      </c>
      <c r="M9" s="4"/>
      <c r="N9" s="4"/>
      <c r="O9" s="4"/>
      <c r="P9" s="4"/>
      <c r="Q9" s="4"/>
      <c r="R9" s="4"/>
      <c r="S9" s="4"/>
      <c r="T9" s="4"/>
      <c r="U9" s="4"/>
      <c r="V9" s="4"/>
      <c r="W9" s="4"/>
      <c r="X9" s="4"/>
      <c r="Y9" s="4"/>
      <c r="Z9" s="4"/>
    </row>
    <row r="10" spans="1:26" ht="33" customHeight="1">
      <c r="A10" s="298" t="s">
        <v>72</v>
      </c>
      <c r="B10" s="79"/>
      <c r="C10" s="80">
        <v>7</v>
      </c>
      <c r="D10" s="80">
        <v>9</v>
      </c>
      <c r="E10" s="80">
        <v>11</v>
      </c>
      <c r="F10" s="80">
        <v>16</v>
      </c>
      <c r="G10" s="80">
        <v>17</v>
      </c>
      <c r="I10" s="78"/>
      <c r="J10" s="66"/>
      <c r="K10" s="67" t="s">
        <v>73</v>
      </c>
      <c r="L10" s="81"/>
      <c r="M10" s="4"/>
      <c r="N10" s="4"/>
      <c r="O10" s="4"/>
      <c r="P10" s="4"/>
      <c r="Q10" s="4"/>
      <c r="R10" s="4"/>
      <c r="S10" s="4"/>
      <c r="T10" s="4"/>
      <c r="U10" s="4"/>
      <c r="V10" s="4"/>
      <c r="W10" s="4"/>
      <c r="X10" s="4"/>
      <c r="Y10" s="4"/>
      <c r="Z10" s="4"/>
    </row>
    <row r="11" spans="1:26" ht="12.75" customHeight="1">
      <c r="A11" s="63" t="s">
        <v>74</v>
      </c>
      <c r="B11" s="64">
        <v>0</v>
      </c>
      <c r="C11" s="64">
        <v>0</v>
      </c>
      <c r="D11" s="64">
        <f>C13*$I$11*0.98</f>
        <v>1287.7199999999998</v>
      </c>
      <c r="E11" s="64">
        <f>D13*$I$11*0.96</f>
        <v>1597.8239999999998</v>
      </c>
      <c r="F11" s="64">
        <f>E13*$I$11*0.94</f>
        <v>2140.944</v>
      </c>
      <c r="G11" s="64">
        <f>F13*$I$11*0.92</f>
        <v>2417.7599999999998</v>
      </c>
      <c r="I11" s="82">
        <v>365</v>
      </c>
      <c r="J11" s="66" t="s">
        <v>75</v>
      </c>
      <c r="K11" s="67" t="s">
        <v>62</v>
      </c>
      <c r="L11" s="68" t="s">
        <v>76</v>
      </c>
      <c r="M11" s="4"/>
      <c r="N11" s="4"/>
      <c r="O11" s="4"/>
      <c r="P11" s="4"/>
      <c r="Q11" s="4"/>
      <c r="R11" s="4"/>
      <c r="S11" s="4"/>
      <c r="T11" s="4"/>
      <c r="U11" s="4"/>
      <c r="V11" s="4"/>
      <c r="W11" s="4"/>
      <c r="X11" s="4"/>
      <c r="Y11" s="4"/>
      <c r="Z11" s="4"/>
    </row>
    <row r="12" spans="1:26" ht="33" customHeight="1">
      <c r="A12" s="70" t="s">
        <v>77</v>
      </c>
      <c r="B12" s="83"/>
      <c r="C12" s="84">
        <v>0.06</v>
      </c>
      <c r="D12" s="85">
        <v>0.06</v>
      </c>
      <c r="E12" s="85">
        <v>0.06</v>
      </c>
      <c r="F12" s="85">
        <v>0.06</v>
      </c>
      <c r="G12" s="85">
        <v>0.06</v>
      </c>
      <c r="I12" s="77"/>
      <c r="J12" s="66"/>
      <c r="K12" s="67" t="s">
        <v>78</v>
      </c>
      <c r="L12" s="81"/>
      <c r="M12" s="4"/>
      <c r="N12" s="4"/>
      <c r="O12" s="4"/>
      <c r="P12" s="4"/>
      <c r="Q12" s="4"/>
      <c r="R12" s="4"/>
      <c r="S12" s="4"/>
      <c r="T12" s="4"/>
      <c r="U12" s="4"/>
      <c r="V12" s="4"/>
      <c r="W12" s="4"/>
      <c r="X12" s="4"/>
      <c r="Y12" s="4"/>
      <c r="Z12" s="4"/>
    </row>
    <row r="13" spans="1:26" ht="33" customHeight="1">
      <c r="A13" s="70" t="s">
        <v>79</v>
      </c>
      <c r="B13" s="83"/>
      <c r="C13" s="71">
        <f>SUM('Page 1-Enrollment Plan'!B7:B19)*'Page 3-Assumptions'!C12</f>
        <v>3.5999999999999996</v>
      </c>
      <c r="D13" s="71">
        <f>SUM('Page 1-Enrollment Plan'!C7:C19)*'Page 3-Assumptions'!D12</f>
        <v>4.5599999999999996</v>
      </c>
      <c r="E13" s="71">
        <f>SUM('Page 1-Enrollment Plan'!D7:D19)*'Page 3-Assumptions'!E12</f>
        <v>6.24</v>
      </c>
      <c r="F13" s="71">
        <f>SUM('Page 1-Enrollment Plan'!E7:E19)*'Page 3-Assumptions'!F12</f>
        <v>7.1999999999999993</v>
      </c>
      <c r="G13" s="71">
        <f>SUM('Page 1-Enrollment Plan'!F7:F19)*'Page 3-Assumptions'!G12</f>
        <v>7.92</v>
      </c>
      <c r="I13" s="77"/>
      <c r="J13" s="66"/>
      <c r="K13" s="67" t="s">
        <v>62</v>
      </c>
      <c r="L13" s="81"/>
      <c r="M13" s="4"/>
      <c r="N13" s="4"/>
      <c r="O13" s="4"/>
      <c r="P13" s="4"/>
      <c r="Q13" s="4"/>
      <c r="R13" s="4"/>
      <c r="S13" s="4"/>
      <c r="T13" s="4"/>
      <c r="U13" s="4"/>
      <c r="V13" s="4"/>
      <c r="W13" s="4"/>
      <c r="X13" s="4"/>
      <c r="Y13" s="4"/>
      <c r="Z13" s="4"/>
    </row>
    <row r="14" spans="1:26" ht="42" customHeight="1">
      <c r="A14" s="63" t="s">
        <v>80</v>
      </c>
      <c r="B14" s="64">
        <v>0</v>
      </c>
      <c r="C14" s="64">
        <f>500</f>
        <v>500</v>
      </c>
      <c r="D14" s="64">
        <f>500+$I$14*D15*0.98</f>
        <v>500</v>
      </c>
      <c r="E14" s="64">
        <f>500+$I$14*E15*0.96</f>
        <v>500</v>
      </c>
      <c r="F14" s="64">
        <f>500+$I$14*F15*0.94</f>
        <v>500</v>
      </c>
      <c r="G14" s="64">
        <f>500+$I$14*G15*0.92</f>
        <v>500</v>
      </c>
      <c r="I14" s="82"/>
      <c r="J14" s="66"/>
      <c r="K14" s="67" t="s">
        <v>62</v>
      </c>
      <c r="L14" s="68"/>
      <c r="M14" s="4"/>
      <c r="N14" s="4"/>
      <c r="O14" s="4"/>
      <c r="P14" s="4"/>
      <c r="Q14" s="4"/>
      <c r="R14" s="4"/>
      <c r="S14" s="4"/>
      <c r="T14" s="4"/>
      <c r="U14" s="4"/>
      <c r="V14" s="4"/>
      <c r="W14" s="4"/>
      <c r="X14" s="4"/>
      <c r="Y14" s="4"/>
      <c r="Z14" s="4"/>
    </row>
    <row r="15" spans="1:26" ht="33" customHeight="1">
      <c r="A15" s="70" t="s">
        <v>81</v>
      </c>
      <c r="B15" s="86"/>
      <c r="C15" s="80">
        <v>2</v>
      </c>
      <c r="D15" s="80">
        <v>2</v>
      </c>
      <c r="E15" s="80">
        <v>2</v>
      </c>
      <c r="F15" s="80">
        <v>4</v>
      </c>
      <c r="G15" s="80">
        <v>4</v>
      </c>
      <c r="I15" s="82"/>
      <c r="J15" s="66"/>
      <c r="K15" s="67" t="s">
        <v>81</v>
      </c>
      <c r="L15" s="68"/>
      <c r="M15" s="4"/>
      <c r="N15" s="4"/>
      <c r="O15" s="4"/>
      <c r="P15" s="4"/>
      <c r="Q15" s="4"/>
      <c r="R15" s="4"/>
      <c r="S15" s="4"/>
      <c r="T15" s="4"/>
      <c r="U15" s="4"/>
      <c r="V15" s="4"/>
      <c r="W15" s="4"/>
      <c r="X15" s="4"/>
      <c r="Y15" s="4"/>
      <c r="Z15" s="4"/>
    </row>
    <row r="16" spans="1:26" ht="33" customHeight="1">
      <c r="A16" s="63" t="s">
        <v>82</v>
      </c>
      <c r="B16" s="64">
        <v>0</v>
      </c>
      <c r="C16" s="76">
        <v>0</v>
      </c>
      <c r="D16" s="76">
        <f t="shared" ref="D16:G16" si="4">C17*$I$16</f>
        <v>9444.14</v>
      </c>
      <c r="E16" s="76">
        <f t="shared" si="4"/>
        <v>9941.2000000000007</v>
      </c>
      <c r="F16" s="76">
        <f t="shared" si="4"/>
        <v>10438.26</v>
      </c>
      <c r="G16" s="76">
        <f t="shared" si="4"/>
        <v>13917.68</v>
      </c>
      <c r="I16" s="82">
        <v>497.06</v>
      </c>
      <c r="J16" s="66" t="s">
        <v>83</v>
      </c>
      <c r="K16" s="67" t="s">
        <v>62</v>
      </c>
      <c r="L16" s="68" t="s">
        <v>84</v>
      </c>
      <c r="M16" s="4"/>
      <c r="N16" s="4"/>
      <c r="O16" s="4"/>
      <c r="P16" s="4"/>
      <c r="Q16" s="4"/>
      <c r="R16" s="4"/>
      <c r="S16" s="4"/>
      <c r="T16" s="4"/>
      <c r="U16" s="4"/>
      <c r="V16" s="4"/>
      <c r="W16" s="4"/>
      <c r="X16" s="4"/>
      <c r="Y16" s="4"/>
      <c r="Z16" s="4"/>
    </row>
    <row r="17" spans="1:26" ht="33" customHeight="1">
      <c r="A17" s="70" t="s">
        <v>85</v>
      </c>
      <c r="B17" s="86"/>
      <c r="C17" s="80">
        <v>19</v>
      </c>
      <c r="D17" s="80">
        <v>20</v>
      </c>
      <c r="E17" s="80">
        <v>21</v>
      </c>
      <c r="F17" s="80">
        <v>28</v>
      </c>
      <c r="G17" s="80">
        <v>28</v>
      </c>
      <c r="I17" s="87">
        <v>0.4</v>
      </c>
      <c r="J17" s="66" t="s">
        <v>86</v>
      </c>
      <c r="K17" s="67" t="s">
        <v>87</v>
      </c>
      <c r="L17" s="68"/>
      <c r="M17" s="4"/>
      <c r="N17" s="4"/>
      <c r="O17" s="4"/>
      <c r="P17" s="4"/>
      <c r="Q17" s="4"/>
      <c r="R17" s="4"/>
      <c r="S17" s="4"/>
      <c r="T17" s="4"/>
      <c r="U17" s="4"/>
      <c r="V17" s="4"/>
      <c r="W17" s="4"/>
      <c r="X17" s="4"/>
      <c r="Y17" s="4"/>
      <c r="Z17" s="4"/>
    </row>
    <row r="18" spans="1:26" ht="33" customHeight="1">
      <c r="A18" s="63" t="s">
        <v>88</v>
      </c>
      <c r="B18" s="64">
        <v>0</v>
      </c>
      <c r="C18" s="64">
        <f>$I$18*'Page 1-Enrollment Plan'!B23</f>
        <v>48000</v>
      </c>
      <c r="D18" s="64">
        <f>$I$18*'Page 1-Enrollment Plan'!C23</f>
        <v>60800</v>
      </c>
      <c r="E18" s="64">
        <f>$I$18*'Page 1-Enrollment Plan'!D23</f>
        <v>83200</v>
      </c>
      <c r="F18" s="64">
        <f>$I$18*'Page 1-Enrollment Plan'!E23</f>
        <v>96000</v>
      </c>
      <c r="G18" s="64">
        <f>$I$18*'Page 1-Enrollment Plan'!F23</f>
        <v>105600</v>
      </c>
      <c r="I18" s="82">
        <v>800</v>
      </c>
      <c r="J18" s="66" t="s">
        <v>58</v>
      </c>
      <c r="K18" s="67" t="s">
        <v>62</v>
      </c>
      <c r="L18" s="68" t="s">
        <v>89</v>
      </c>
      <c r="M18" s="4"/>
      <c r="N18" s="4"/>
      <c r="O18" s="4"/>
      <c r="P18" s="4"/>
      <c r="Q18" s="4"/>
      <c r="R18" s="4"/>
      <c r="S18" s="4"/>
      <c r="T18" s="4"/>
      <c r="U18" s="4"/>
      <c r="V18" s="4"/>
      <c r="W18" s="4"/>
      <c r="X18" s="4"/>
      <c r="Y18" s="4"/>
      <c r="Z18" s="4"/>
    </row>
    <row r="19" spans="1:26" ht="12.75" customHeight="1">
      <c r="A19" s="63" t="s">
        <v>90</v>
      </c>
      <c r="B19" s="64">
        <v>0</v>
      </c>
      <c r="C19" s="64">
        <f t="shared" ref="C19:G19" si="5">IF(C23&gt;0.3499,C24*$I$19,0)</f>
        <v>13428</v>
      </c>
      <c r="D19" s="64">
        <f t="shared" si="5"/>
        <v>17008.8</v>
      </c>
      <c r="E19" s="64">
        <f t="shared" si="5"/>
        <v>23275.200000000001</v>
      </c>
      <c r="F19" s="64">
        <f t="shared" si="5"/>
        <v>26856</v>
      </c>
      <c r="G19" s="64">
        <f t="shared" si="5"/>
        <v>29541.600000000002</v>
      </c>
      <c r="I19" s="88">
        <v>373</v>
      </c>
      <c r="J19" s="66" t="s">
        <v>91</v>
      </c>
      <c r="K19" s="67" t="s">
        <v>62</v>
      </c>
      <c r="L19" s="81" t="s">
        <v>92</v>
      </c>
      <c r="M19" s="4"/>
      <c r="N19" s="4"/>
      <c r="O19" s="4"/>
      <c r="P19" s="4"/>
      <c r="Q19" s="4"/>
      <c r="R19" s="4"/>
      <c r="S19" s="4"/>
      <c r="T19" s="4"/>
      <c r="U19" s="4"/>
      <c r="V19" s="4"/>
      <c r="W19" s="4"/>
      <c r="X19" s="4"/>
      <c r="Y19" s="4"/>
      <c r="Z19" s="4"/>
    </row>
    <row r="20" spans="1:26" ht="33" customHeight="1">
      <c r="A20" s="63" t="s">
        <v>93</v>
      </c>
      <c r="B20" s="64">
        <v>0</v>
      </c>
      <c r="C20" s="64">
        <f>C10*$I$20</f>
        <v>11200</v>
      </c>
      <c r="D20" s="64">
        <f t="shared" ref="D20:G20" si="6">C10*$I$20</f>
        <v>11200</v>
      </c>
      <c r="E20" s="64">
        <f t="shared" si="6"/>
        <v>14400</v>
      </c>
      <c r="F20" s="64">
        <f t="shared" si="6"/>
        <v>17600</v>
      </c>
      <c r="G20" s="64">
        <f t="shared" si="6"/>
        <v>25600</v>
      </c>
      <c r="I20" s="78">
        <v>1600</v>
      </c>
      <c r="J20" s="66" t="s">
        <v>94</v>
      </c>
      <c r="K20" s="67" t="s">
        <v>62</v>
      </c>
      <c r="L20" s="81"/>
      <c r="M20" s="4"/>
      <c r="N20" s="4"/>
      <c r="O20" s="4"/>
      <c r="P20" s="4"/>
      <c r="Q20" s="4"/>
      <c r="R20" s="4"/>
      <c r="S20" s="4"/>
      <c r="T20" s="4"/>
      <c r="U20" s="4"/>
      <c r="V20" s="4"/>
      <c r="W20" s="4"/>
      <c r="X20" s="4"/>
      <c r="Y20" s="4"/>
      <c r="Z20" s="4"/>
    </row>
    <row r="21" spans="1:26" ht="57" customHeight="1">
      <c r="A21" s="63" t="s">
        <v>95</v>
      </c>
      <c r="B21" s="64">
        <v>0</v>
      </c>
      <c r="C21" s="64">
        <v>0</v>
      </c>
      <c r="D21" s="64">
        <f>C13*$I$21*0.98</f>
        <v>458.63999999999993</v>
      </c>
      <c r="E21" s="64">
        <f>D13*$I$21*0.96</f>
        <v>569.08799999999997</v>
      </c>
      <c r="F21" s="64">
        <f>E13*$I$21*0.94</f>
        <v>762.52800000000002</v>
      </c>
      <c r="G21" s="64">
        <f>F13*$I$21*0.92</f>
        <v>861.11999999999989</v>
      </c>
      <c r="I21" s="82">
        <v>130</v>
      </c>
      <c r="J21" s="66" t="s">
        <v>75</v>
      </c>
      <c r="K21" s="67" t="s">
        <v>62</v>
      </c>
      <c r="L21" s="68" t="s">
        <v>96</v>
      </c>
      <c r="M21" s="4"/>
      <c r="N21" s="4"/>
      <c r="O21" s="4"/>
      <c r="P21" s="4"/>
      <c r="Q21" s="4"/>
      <c r="R21" s="4"/>
      <c r="S21" s="4"/>
      <c r="T21" s="4"/>
      <c r="U21" s="4"/>
      <c r="V21" s="4"/>
      <c r="W21" s="4"/>
      <c r="X21" s="4"/>
      <c r="Y21" s="4"/>
      <c r="Z21" s="4"/>
    </row>
    <row r="22" spans="1:26" ht="12.75" customHeight="1">
      <c r="A22" s="63" t="s">
        <v>97</v>
      </c>
      <c r="B22" s="64">
        <v>0</v>
      </c>
      <c r="C22" s="64">
        <f t="shared" ref="C22:G22" si="7">MAX(1500,$I$22*C24)</f>
        <v>1500</v>
      </c>
      <c r="D22" s="64">
        <f t="shared" si="7"/>
        <v>1500</v>
      </c>
      <c r="E22" s="64">
        <f t="shared" si="7"/>
        <v>1500</v>
      </c>
      <c r="F22" s="64">
        <f t="shared" si="7"/>
        <v>1500</v>
      </c>
      <c r="G22" s="64">
        <f t="shared" si="7"/>
        <v>1500</v>
      </c>
      <c r="I22" s="82">
        <v>8.98</v>
      </c>
      <c r="J22" s="66" t="s">
        <v>98</v>
      </c>
      <c r="K22" s="67" t="s">
        <v>62</v>
      </c>
      <c r="L22" s="68" t="s">
        <v>99</v>
      </c>
      <c r="M22" s="4"/>
      <c r="N22" s="4"/>
      <c r="O22" s="4"/>
      <c r="P22" s="4"/>
      <c r="Q22" s="4"/>
      <c r="R22" s="4"/>
      <c r="S22" s="4"/>
      <c r="T22" s="4"/>
      <c r="U22" s="4"/>
      <c r="V22" s="4"/>
      <c r="W22" s="4"/>
      <c r="X22" s="4"/>
      <c r="Y22" s="4"/>
      <c r="Z22" s="4"/>
    </row>
    <row r="23" spans="1:26" ht="33" customHeight="1">
      <c r="A23" s="63" t="s">
        <v>100</v>
      </c>
      <c r="B23" s="89" t="s">
        <v>101</v>
      </c>
      <c r="C23" s="84">
        <v>0.6</v>
      </c>
      <c r="D23" s="85">
        <v>0.6</v>
      </c>
      <c r="E23" s="85">
        <v>0.6</v>
      </c>
      <c r="F23" s="85">
        <v>0.6</v>
      </c>
      <c r="G23" s="85">
        <v>0.6</v>
      </c>
      <c r="I23" s="82"/>
      <c r="J23" s="66"/>
      <c r="K23" s="67" t="s">
        <v>102</v>
      </c>
      <c r="L23" s="81"/>
      <c r="M23" s="4"/>
      <c r="N23" s="4"/>
      <c r="O23" s="4"/>
      <c r="P23" s="4"/>
      <c r="Q23" s="4"/>
      <c r="R23" s="4"/>
      <c r="S23" s="4"/>
      <c r="T23" s="4"/>
      <c r="U23" s="4"/>
      <c r="V23" s="4"/>
      <c r="W23" s="4"/>
      <c r="X23" s="4"/>
      <c r="Y23" s="4"/>
      <c r="Z23" s="4"/>
    </row>
    <row r="24" spans="1:26" ht="33" customHeight="1">
      <c r="A24" s="63" t="s">
        <v>103</v>
      </c>
      <c r="B24" s="90" t="s">
        <v>101</v>
      </c>
      <c r="C24" s="90">
        <f>C23*SUM('Page 1-Enrollment Plan'!B7:B19)</f>
        <v>36</v>
      </c>
      <c r="D24" s="90">
        <f>D23*SUM('Page 1-Enrollment Plan'!C7:C19)</f>
        <v>45.6</v>
      </c>
      <c r="E24" s="90">
        <f>E23*SUM('Page 1-Enrollment Plan'!D7:D19)</f>
        <v>62.4</v>
      </c>
      <c r="F24" s="90">
        <f>F23*SUM('Page 1-Enrollment Plan'!E7:E19)</f>
        <v>72</v>
      </c>
      <c r="G24" s="90">
        <f>G23*SUM('Page 1-Enrollment Plan'!F7:F19)</f>
        <v>79.2</v>
      </c>
      <c r="I24" s="82"/>
      <c r="J24" s="66"/>
      <c r="K24" s="67" t="s">
        <v>62</v>
      </c>
      <c r="L24" s="81"/>
      <c r="M24" s="4"/>
      <c r="N24" s="4"/>
      <c r="O24" s="4"/>
      <c r="P24" s="4"/>
      <c r="Q24" s="4"/>
      <c r="R24" s="4"/>
      <c r="S24" s="4"/>
      <c r="T24" s="4"/>
      <c r="U24" s="4"/>
      <c r="V24" s="4"/>
      <c r="W24" s="4"/>
      <c r="X24" s="4"/>
      <c r="Y24" s="4"/>
      <c r="Z24" s="4"/>
    </row>
    <row r="25" spans="1:26" ht="33" customHeight="1">
      <c r="A25" s="63" t="s">
        <v>104</v>
      </c>
      <c r="B25" s="89" t="s">
        <v>101</v>
      </c>
      <c r="C25" s="91">
        <v>10428.719999999999</v>
      </c>
      <c r="D25" s="91">
        <v>10428.719999999999</v>
      </c>
      <c r="E25" s="91">
        <v>10428.719999999999</v>
      </c>
      <c r="F25" s="91">
        <v>10428.719999999999</v>
      </c>
      <c r="G25" s="91">
        <v>10428.719999999999</v>
      </c>
      <c r="I25" s="92">
        <v>10428.719999999999</v>
      </c>
      <c r="J25" s="66" t="s">
        <v>105</v>
      </c>
      <c r="K25" s="67"/>
      <c r="L25" s="81"/>
      <c r="M25" s="4"/>
      <c r="N25" s="4"/>
      <c r="O25" s="4"/>
      <c r="P25" s="4"/>
      <c r="Q25" s="4"/>
      <c r="R25" s="4"/>
      <c r="S25" s="4"/>
      <c r="T25" s="4"/>
      <c r="U25" s="4"/>
      <c r="V25" s="4"/>
      <c r="W25" s="4"/>
      <c r="X25" s="4"/>
      <c r="Y25" s="4"/>
      <c r="Z25" s="4"/>
    </row>
    <row r="26" spans="1:26" ht="12.75" customHeight="1">
      <c r="A26" s="73"/>
      <c r="B26" s="93"/>
      <c r="C26" s="94"/>
      <c r="D26" s="94"/>
      <c r="E26" s="94"/>
      <c r="F26" s="94"/>
      <c r="G26" s="94"/>
      <c r="I26" s="4"/>
      <c r="J26" s="4"/>
      <c r="K26" s="4"/>
      <c r="L26" s="59"/>
      <c r="M26" s="4"/>
      <c r="N26" s="4"/>
      <c r="O26" s="4"/>
      <c r="P26" s="4"/>
      <c r="Q26" s="4"/>
      <c r="R26" s="4"/>
      <c r="S26" s="4"/>
      <c r="T26" s="4"/>
      <c r="U26" s="4"/>
      <c r="V26" s="4"/>
      <c r="W26" s="4"/>
      <c r="X26" s="4"/>
      <c r="Y26" s="4"/>
      <c r="Z26" s="4"/>
    </row>
    <row r="27" spans="1:26" ht="12.75" customHeight="1">
      <c r="A27" s="4"/>
      <c r="B27" s="4"/>
      <c r="C27" s="4"/>
      <c r="D27" s="4"/>
      <c r="E27" s="4"/>
      <c r="F27" s="4"/>
      <c r="G27" s="4"/>
      <c r="I27" s="4"/>
      <c r="J27" s="4"/>
      <c r="K27" s="4"/>
      <c r="L27" s="59"/>
      <c r="M27" s="4"/>
      <c r="N27" s="4"/>
      <c r="O27" s="4"/>
      <c r="P27" s="4"/>
      <c r="Q27" s="4"/>
      <c r="R27" s="4"/>
      <c r="S27" s="4"/>
      <c r="T27" s="4"/>
      <c r="U27" s="4"/>
      <c r="V27" s="4"/>
      <c r="W27" s="4"/>
      <c r="X27" s="4"/>
      <c r="Y27" s="4"/>
      <c r="Z27" s="4"/>
    </row>
    <row r="28" spans="1:26" ht="12.75" customHeight="1">
      <c r="A28" s="31" t="s">
        <v>106</v>
      </c>
      <c r="B28" s="4"/>
      <c r="C28" s="4"/>
      <c r="D28" s="4"/>
      <c r="E28" s="4"/>
      <c r="F28" s="4"/>
      <c r="G28" s="4"/>
      <c r="I28" s="4"/>
      <c r="J28" s="4"/>
      <c r="K28" s="4"/>
      <c r="L28" s="59"/>
      <c r="M28" s="4"/>
      <c r="N28" s="4"/>
      <c r="O28" s="4"/>
      <c r="P28" s="4"/>
      <c r="Q28" s="4"/>
      <c r="R28" s="4"/>
      <c r="S28" s="4"/>
      <c r="T28" s="4"/>
      <c r="U28" s="4"/>
      <c r="V28" s="4"/>
      <c r="W28" s="4"/>
      <c r="X28" s="4"/>
      <c r="Y28" s="4"/>
      <c r="Z28" s="4"/>
    </row>
    <row r="29" spans="1:26" ht="25.5" customHeight="1">
      <c r="A29" s="95" t="s">
        <v>107</v>
      </c>
      <c r="B29" s="96"/>
      <c r="C29" s="96">
        <v>0.03</v>
      </c>
      <c r="D29" s="96">
        <v>0.03</v>
      </c>
      <c r="E29" s="96">
        <v>0.03</v>
      </c>
      <c r="F29" s="96">
        <v>0.03</v>
      </c>
      <c r="G29" s="96">
        <v>0.03</v>
      </c>
      <c r="I29" s="4"/>
      <c r="J29" s="4"/>
      <c r="K29" s="4"/>
      <c r="L29" s="59"/>
      <c r="M29" s="4"/>
      <c r="N29" s="4"/>
      <c r="O29" s="4"/>
      <c r="P29" s="4"/>
      <c r="Q29" s="4"/>
      <c r="R29" s="4"/>
      <c r="S29" s="4"/>
      <c r="T29" s="4"/>
      <c r="U29" s="4"/>
      <c r="V29" s="4"/>
      <c r="W29" s="4"/>
      <c r="X29" s="4"/>
      <c r="Y29" s="4"/>
      <c r="Z29" s="4"/>
    </row>
    <row r="30" spans="1:26" ht="25.5" customHeight="1">
      <c r="A30" s="95" t="s">
        <v>108</v>
      </c>
      <c r="B30" s="96"/>
      <c r="C30" s="96">
        <v>0.01</v>
      </c>
      <c r="D30" s="96">
        <v>0.01</v>
      </c>
      <c r="E30" s="96">
        <v>0.01</v>
      </c>
      <c r="F30" s="96">
        <v>0.01</v>
      </c>
      <c r="G30" s="96">
        <v>0.01</v>
      </c>
      <c r="I30" s="4"/>
      <c r="J30" s="4"/>
      <c r="K30" s="4"/>
      <c r="L30" s="59"/>
      <c r="M30" s="4"/>
      <c r="N30" s="4"/>
      <c r="O30" s="4"/>
      <c r="P30" s="4"/>
      <c r="Q30" s="4"/>
      <c r="R30" s="4"/>
      <c r="S30" s="4"/>
      <c r="T30" s="4"/>
      <c r="U30" s="4"/>
      <c r="V30" s="4"/>
      <c r="W30" s="4"/>
      <c r="X30" s="4"/>
      <c r="Y30" s="4"/>
      <c r="Z30" s="4"/>
    </row>
    <row r="31" spans="1:26" ht="25.5" customHeight="1">
      <c r="A31" s="299" t="s">
        <v>109</v>
      </c>
      <c r="B31" s="300">
        <v>0</v>
      </c>
      <c r="C31" s="301">
        <v>0.219</v>
      </c>
      <c r="D31" s="302">
        <v>0.2215</v>
      </c>
      <c r="E31" s="302">
        <v>0.224</v>
      </c>
      <c r="F31" s="302">
        <v>0.22650000000000001</v>
      </c>
      <c r="G31" s="302">
        <v>0.22900000000000001</v>
      </c>
      <c r="H31" s="303"/>
      <c r="I31" s="304" t="s">
        <v>110</v>
      </c>
      <c r="J31" s="261"/>
      <c r="K31" s="305"/>
      <c r="L31" s="306"/>
      <c r="M31" s="305"/>
      <c r="N31" s="305"/>
      <c r="O31" s="305"/>
      <c r="P31" s="305"/>
      <c r="Q31" s="305"/>
      <c r="R31" s="305"/>
      <c r="S31" s="305"/>
      <c r="T31" s="305"/>
      <c r="U31" s="305"/>
      <c r="V31" s="305"/>
      <c r="W31" s="305"/>
      <c r="X31" s="305"/>
      <c r="Y31" s="305"/>
      <c r="Z31" s="305"/>
    </row>
    <row r="32" spans="1:26" ht="25.5" customHeight="1">
      <c r="A32" s="67" t="s">
        <v>111</v>
      </c>
      <c r="B32" s="96">
        <v>6.2E-2</v>
      </c>
      <c r="C32" s="96" t="s">
        <v>101</v>
      </c>
      <c r="D32" s="96" t="s">
        <v>101</v>
      </c>
      <c r="E32" s="96" t="s">
        <v>101</v>
      </c>
      <c r="F32" s="96" t="s">
        <v>101</v>
      </c>
      <c r="G32" s="96" t="s">
        <v>101</v>
      </c>
      <c r="I32" s="4"/>
      <c r="J32" s="4"/>
      <c r="K32" s="4"/>
      <c r="L32" s="59"/>
      <c r="M32" s="4"/>
      <c r="N32" s="4"/>
      <c r="O32" s="4"/>
      <c r="P32" s="4"/>
      <c r="Q32" s="4"/>
      <c r="R32" s="4"/>
      <c r="S32" s="4"/>
      <c r="T32" s="4"/>
      <c r="U32" s="4"/>
      <c r="V32" s="4"/>
      <c r="W32" s="4"/>
      <c r="X32" s="4"/>
      <c r="Y32" s="4"/>
      <c r="Z32" s="4"/>
    </row>
    <row r="33" spans="1:26" ht="25.5" customHeight="1">
      <c r="A33" s="67" t="s">
        <v>112</v>
      </c>
      <c r="B33" s="96">
        <v>1.4500000000000001E-2</v>
      </c>
      <c r="C33" s="96">
        <v>1.4500000000000001E-2</v>
      </c>
      <c r="D33" s="96">
        <v>1.4500000000000001E-2</v>
      </c>
      <c r="E33" s="96">
        <v>1.4500000000000001E-2</v>
      </c>
      <c r="F33" s="96">
        <v>1.4500000000000001E-2</v>
      </c>
      <c r="G33" s="96">
        <v>1.4500000000000001E-2</v>
      </c>
      <c r="I33" s="97"/>
      <c r="J33" s="4"/>
      <c r="K33" s="4"/>
      <c r="L33" s="59"/>
      <c r="M33" s="4"/>
      <c r="N33" s="4"/>
      <c r="O33" s="4"/>
      <c r="P33" s="4"/>
      <c r="Q33" s="4"/>
      <c r="R33" s="4"/>
      <c r="S33" s="4"/>
      <c r="T33" s="4"/>
      <c r="U33" s="4"/>
      <c r="V33" s="4"/>
      <c r="W33" s="4"/>
      <c r="X33" s="4"/>
      <c r="Y33" s="4"/>
      <c r="Z33" s="4"/>
    </row>
    <row r="34" spans="1:26" ht="25.5" customHeight="1">
      <c r="A34" s="67" t="s">
        <v>113</v>
      </c>
      <c r="B34" s="96">
        <v>3.0000000000000001E-3</v>
      </c>
      <c r="C34" s="96">
        <v>3.0000000000000001E-3</v>
      </c>
      <c r="D34" s="96">
        <v>3.0000000000000001E-3</v>
      </c>
      <c r="E34" s="96">
        <v>3.0000000000000001E-3</v>
      </c>
      <c r="F34" s="96">
        <v>3.0000000000000001E-3</v>
      </c>
      <c r="G34" s="96">
        <v>3.0000000000000001E-3</v>
      </c>
      <c r="I34" s="4"/>
      <c r="J34" s="4"/>
      <c r="K34" s="4"/>
      <c r="L34" s="98" t="s">
        <v>114</v>
      </c>
      <c r="M34" s="4"/>
      <c r="N34" s="4"/>
      <c r="O34" s="4"/>
      <c r="P34" s="4"/>
      <c r="Q34" s="4"/>
      <c r="R34" s="4"/>
      <c r="S34" s="4"/>
      <c r="T34" s="4"/>
      <c r="U34" s="4"/>
      <c r="V34" s="4"/>
      <c r="W34" s="4"/>
      <c r="X34" s="4"/>
      <c r="Y34" s="4"/>
      <c r="Z34" s="4"/>
    </row>
    <row r="35" spans="1:26" ht="12.75" customHeight="1">
      <c r="A35" s="67" t="s">
        <v>115</v>
      </c>
      <c r="B35" s="99">
        <v>0</v>
      </c>
      <c r="C35" s="99">
        <f>128*'Page 1-Enrollment Plan'!B21*1.02</f>
        <v>9400.32</v>
      </c>
      <c r="D35" s="99">
        <f>128*'Page 1-Enrollment Plan'!C21*1.02^2</f>
        <v>12784.4352</v>
      </c>
      <c r="E35" s="99">
        <f>128*'Page 1-Enrollment Plan'!D21*1.02^3</f>
        <v>19560.185856</v>
      </c>
      <c r="F35" s="99">
        <f>128*'Page 1-Enrollment Plan'!E21*1.02^4</f>
        <v>22168.210636799999</v>
      </c>
      <c r="G35" s="99">
        <f>128*'Page 1-Enrollment Plan'!F21*1.02^5</f>
        <v>27133.8898194432</v>
      </c>
      <c r="I35" s="4"/>
      <c r="J35" s="4"/>
      <c r="K35" s="4" t="s">
        <v>116</v>
      </c>
      <c r="L35" s="100" t="s">
        <v>117</v>
      </c>
      <c r="M35" s="4"/>
      <c r="N35" s="4"/>
      <c r="O35" s="4"/>
      <c r="P35" s="4"/>
      <c r="Q35" s="4"/>
      <c r="R35" s="4"/>
      <c r="S35" s="4"/>
      <c r="T35" s="4"/>
      <c r="U35" s="4"/>
      <c r="V35" s="4"/>
      <c r="W35" s="4"/>
      <c r="X35" s="4"/>
      <c r="Y35" s="4"/>
      <c r="Z35" s="4"/>
    </row>
    <row r="36" spans="1:26" ht="12.75" customHeight="1">
      <c r="A36" s="4"/>
      <c r="B36" s="4"/>
      <c r="C36" s="4"/>
      <c r="D36" s="4"/>
      <c r="E36" s="4"/>
      <c r="F36" s="4"/>
      <c r="G36" s="4"/>
      <c r="I36" s="4"/>
      <c r="J36" s="4"/>
      <c r="K36" s="4"/>
      <c r="L36" s="100" t="s">
        <v>118</v>
      </c>
      <c r="M36" s="4"/>
      <c r="N36" s="4"/>
      <c r="O36" s="4"/>
      <c r="P36" s="4"/>
      <c r="Q36" s="4"/>
      <c r="R36" s="4"/>
      <c r="S36" s="4"/>
      <c r="T36" s="4"/>
      <c r="U36" s="4"/>
      <c r="V36" s="4"/>
      <c r="W36" s="4"/>
      <c r="X36" s="4"/>
      <c r="Y36" s="4"/>
      <c r="Z36" s="4"/>
    </row>
    <row r="37" spans="1:26" ht="12.75" customHeight="1">
      <c r="A37" s="4"/>
      <c r="B37" s="4"/>
      <c r="C37" s="4"/>
      <c r="D37" s="4"/>
      <c r="E37" s="4"/>
      <c r="F37" s="4"/>
      <c r="G37" s="4"/>
      <c r="I37" s="4"/>
      <c r="J37" s="4"/>
      <c r="K37" s="4"/>
      <c r="L37" s="59"/>
      <c r="M37" s="4"/>
      <c r="N37" s="4"/>
      <c r="O37" s="4"/>
      <c r="P37" s="4"/>
      <c r="Q37" s="4"/>
      <c r="R37" s="4"/>
      <c r="S37" s="4"/>
      <c r="T37" s="4"/>
      <c r="U37" s="4"/>
      <c r="V37" s="4"/>
      <c r="W37" s="4"/>
      <c r="X37" s="4"/>
      <c r="Y37" s="4"/>
      <c r="Z37" s="4"/>
    </row>
    <row r="38" spans="1:26" ht="12.75" customHeight="1">
      <c r="A38" s="101" t="s">
        <v>119</v>
      </c>
      <c r="B38" s="307" t="s">
        <v>120</v>
      </c>
      <c r="C38" s="102" t="s">
        <v>121</v>
      </c>
      <c r="D38" s="4"/>
      <c r="E38" s="4"/>
      <c r="F38" s="4"/>
      <c r="G38" s="4"/>
      <c r="I38" s="4"/>
      <c r="J38" s="4"/>
      <c r="K38" s="4"/>
      <c r="L38" s="59"/>
      <c r="M38" s="4"/>
      <c r="N38" s="4"/>
      <c r="O38" s="4"/>
      <c r="P38" s="4"/>
      <c r="Q38" s="4"/>
      <c r="R38" s="4"/>
      <c r="S38" s="4"/>
      <c r="T38" s="4"/>
      <c r="U38" s="4"/>
      <c r="V38" s="4"/>
      <c r="W38" s="4"/>
      <c r="X38" s="4"/>
      <c r="Y38" s="4"/>
      <c r="Z38" s="4"/>
    </row>
    <row r="39" spans="1:26" ht="12.75" customHeight="1">
      <c r="A39" s="4" t="s">
        <v>122</v>
      </c>
      <c r="B39" s="308">
        <v>160</v>
      </c>
      <c r="C39" s="4" t="s">
        <v>123</v>
      </c>
      <c r="D39" s="4"/>
      <c r="E39" s="4"/>
      <c r="F39" s="4"/>
      <c r="G39" s="4"/>
      <c r="I39" s="4"/>
      <c r="J39" s="4"/>
      <c r="K39" s="4"/>
      <c r="L39" s="59"/>
      <c r="M39" s="4"/>
      <c r="N39" s="4"/>
      <c r="O39" s="4"/>
      <c r="P39" s="4"/>
      <c r="Q39" s="4"/>
      <c r="R39" s="4"/>
      <c r="S39" s="4"/>
      <c r="T39" s="4"/>
      <c r="U39" s="4"/>
      <c r="V39" s="4"/>
      <c r="W39" s="4"/>
      <c r="X39" s="4"/>
      <c r="Y39" s="4"/>
      <c r="Z39" s="4"/>
    </row>
    <row r="40" spans="1:26" ht="12.75" customHeight="1">
      <c r="A40" s="4" t="s">
        <v>124</v>
      </c>
      <c r="B40" s="308">
        <v>4</v>
      </c>
      <c r="C40" s="4" t="s">
        <v>125</v>
      </c>
      <c r="D40" s="4"/>
      <c r="E40" s="4"/>
      <c r="F40" s="4"/>
      <c r="G40" s="4"/>
      <c r="I40" s="4"/>
      <c r="J40" s="4"/>
      <c r="K40" s="4"/>
      <c r="L40" s="59"/>
      <c r="M40" s="4"/>
      <c r="N40" s="4"/>
      <c r="O40" s="4"/>
      <c r="P40" s="4"/>
      <c r="Q40" s="4"/>
      <c r="R40" s="4"/>
      <c r="S40" s="4"/>
      <c r="T40" s="4"/>
      <c r="U40" s="4"/>
      <c r="V40" s="4"/>
      <c r="W40" s="4"/>
      <c r="X40" s="4"/>
      <c r="Y40" s="4"/>
      <c r="Z40" s="4"/>
    </row>
    <row r="41" spans="1:26" ht="12.75" customHeight="1">
      <c r="A41" s="4" t="s">
        <v>126</v>
      </c>
      <c r="B41" s="308">
        <v>5000</v>
      </c>
      <c r="C41" s="4" t="s">
        <v>127</v>
      </c>
      <c r="D41" s="4" t="s">
        <v>128</v>
      </c>
      <c r="E41" s="4"/>
      <c r="F41" s="4"/>
      <c r="G41" s="4"/>
      <c r="I41" s="4"/>
      <c r="J41" s="4"/>
      <c r="K41" s="4"/>
      <c r="L41" s="59"/>
      <c r="M41" s="4"/>
      <c r="N41" s="4"/>
      <c r="O41" s="4"/>
      <c r="P41" s="4"/>
      <c r="Q41" s="4"/>
      <c r="R41" s="4"/>
      <c r="S41" s="4"/>
      <c r="T41" s="4"/>
      <c r="U41" s="4"/>
      <c r="V41" s="4"/>
      <c r="W41" s="4"/>
      <c r="X41" s="4"/>
      <c r="Y41" s="4"/>
      <c r="Z41" s="4"/>
    </row>
    <row r="42" spans="1:26" ht="12.75" customHeight="1">
      <c r="A42" s="4" t="s">
        <v>129</v>
      </c>
      <c r="B42" s="308">
        <v>330</v>
      </c>
      <c r="C42" s="4" t="s">
        <v>127</v>
      </c>
      <c r="D42" s="4"/>
      <c r="E42" s="4"/>
      <c r="F42" s="4"/>
      <c r="G42" s="4"/>
      <c r="I42" s="4"/>
      <c r="J42" s="4"/>
      <c r="K42" s="4"/>
      <c r="L42" s="59"/>
      <c r="M42" s="4"/>
      <c r="N42" s="4"/>
      <c r="O42" s="4"/>
      <c r="P42" s="4"/>
      <c r="Q42" s="4"/>
      <c r="R42" s="4"/>
      <c r="S42" s="4"/>
      <c r="T42" s="4"/>
      <c r="U42" s="4"/>
      <c r="V42" s="4"/>
      <c r="W42" s="4"/>
      <c r="X42" s="4"/>
      <c r="Y42" s="4"/>
      <c r="Z42" s="4"/>
    </row>
    <row r="43" spans="1:26" ht="12.75" customHeight="1">
      <c r="A43" s="4" t="s">
        <v>130</v>
      </c>
      <c r="B43" s="308"/>
      <c r="C43" s="4" t="s">
        <v>127</v>
      </c>
      <c r="D43" s="4" t="s">
        <v>131</v>
      </c>
      <c r="E43" s="4"/>
      <c r="F43" s="4"/>
      <c r="G43" s="4"/>
      <c r="I43" s="4"/>
      <c r="J43" s="4"/>
      <c r="K43" s="4"/>
      <c r="L43" s="59"/>
      <c r="M43" s="4"/>
      <c r="N43" s="4"/>
      <c r="O43" s="4"/>
      <c r="P43" s="4"/>
      <c r="Q43" s="4"/>
      <c r="R43" s="4"/>
      <c r="S43" s="4"/>
      <c r="T43" s="4"/>
      <c r="U43" s="4"/>
      <c r="V43" s="4"/>
      <c r="W43" s="4"/>
      <c r="X43" s="4"/>
      <c r="Y43" s="4"/>
      <c r="Z43" s="4"/>
    </row>
    <row r="44" spans="1:26" ht="12.75" customHeight="1">
      <c r="A44" s="4" t="s">
        <v>132</v>
      </c>
      <c r="B44" s="308"/>
      <c r="C44" s="4" t="s">
        <v>127</v>
      </c>
      <c r="D44" s="4"/>
      <c r="E44" s="4"/>
      <c r="F44" s="4"/>
      <c r="G44" s="4"/>
      <c r="I44" s="4"/>
      <c r="J44" s="4"/>
      <c r="K44" s="4"/>
      <c r="L44" s="59"/>
      <c r="M44" s="4"/>
      <c r="N44" s="4"/>
      <c r="O44" s="4"/>
      <c r="P44" s="4"/>
      <c r="Q44" s="4"/>
      <c r="R44" s="4"/>
      <c r="S44" s="4"/>
      <c r="T44" s="4"/>
      <c r="U44" s="4"/>
      <c r="V44" s="4"/>
      <c r="W44" s="4"/>
      <c r="X44" s="4"/>
      <c r="Y44" s="4"/>
      <c r="Z44" s="4"/>
    </row>
    <row r="45" spans="1:26" ht="12.75" customHeight="1">
      <c r="A45" s="4" t="s">
        <v>133</v>
      </c>
      <c r="B45" s="308">
        <v>120</v>
      </c>
      <c r="C45" s="4" t="s">
        <v>134</v>
      </c>
      <c r="D45" s="4"/>
      <c r="E45" s="4"/>
      <c r="F45" s="4"/>
      <c r="G45" s="4"/>
      <c r="I45" s="4"/>
      <c r="J45" s="4"/>
      <c r="K45" s="4"/>
      <c r="L45" s="59"/>
      <c r="M45" s="4"/>
      <c r="N45" s="4"/>
      <c r="O45" s="4"/>
      <c r="P45" s="4"/>
      <c r="Q45" s="4"/>
      <c r="R45" s="4"/>
      <c r="S45" s="4"/>
      <c r="T45" s="4"/>
      <c r="U45" s="4"/>
      <c r="V45" s="4"/>
      <c r="W45" s="4"/>
      <c r="X45" s="4"/>
      <c r="Y45" s="4"/>
      <c r="Z45" s="4"/>
    </row>
    <row r="46" spans="1:26" ht="12.75" customHeight="1">
      <c r="A46" s="4" t="s">
        <v>135</v>
      </c>
      <c r="B46" s="308">
        <v>50</v>
      </c>
      <c r="C46" s="4" t="s">
        <v>136</v>
      </c>
      <c r="D46" s="4"/>
      <c r="E46" s="4"/>
      <c r="F46" s="4"/>
      <c r="G46" s="4"/>
      <c r="I46" s="4"/>
      <c r="J46" s="4"/>
      <c r="K46" s="4"/>
      <c r="L46" s="59"/>
      <c r="M46" s="4"/>
      <c r="N46" s="4"/>
      <c r="O46" s="4"/>
      <c r="P46" s="4"/>
      <c r="Q46" s="4"/>
      <c r="R46" s="4"/>
      <c r="S46" s="4"/>
      <c r="T46" s="4"/>
      <c r="U46" s="4"/>
      <c r="V46" s="4"/>
      <c r="W46" s="4"/>
      <c r="X46" s="4"/>
      <c r="Y46" s="4"/>
      <c r="Z46" s="4"/>
    </row>
    <row r="47" spans="1:26" ht="12.75" customHeight="1">
      <c r="A47" s="4" t="s">
        <v>137</v>
      </c>
      <c r="B47" s="308"/>
      <c r="C47" s="4" t="s">
        <v>136</v>
      </c>
      <c r="D47" s="103"/>
      <c r="E47" s="103"/>
      <c r="F47" s="103"/>
      <c r="G47" s="103"/>
      <c r="I47" s="103"/>
      <c r="J47" s="4"/>
      <c r="K47" s="4"/>
      <c r="L47" s="59"/>
      <c r="M47" s="4"/>
      <c r="N47" s="4"/>
      <c r="O47" s="4"/>
      <c r="P47" s="4"/>
      <c r="Q47" s="4"/>
      <c r="R47" s="4"/>
      <c r="S47" s="4"/>
      <c r="T47" s="4"/>
      <c r="U47" s="4"/>
      <c r="V47" s="4"/>
      <c r="W47" s="4"/>
      <c r="X47" s="4"/>
      <c r="Y47" s="4"/>
      <c r="Z47" s="4"/>
    </row>
    <row r="48" spans="1:26" ht="12.75" customHeight="1">
      <c r="A48" s="4" t="s">
        <v>138</v>
      </c>
      <c r="B48" s="308"/>
      <c r="C48" s="4" t="s">
        <v>136</v>
      </c>
      <c r="D48" s="4"/>
      <c r="E48" s="4"/>
      <c r="F48" s="4"/>
      <c r="G48" s="4"/>
      <c r="I48" s="4"/>
      <c r="J48" s="4"/>
      <c r="K48" s="4"/>
      <c r="L48" s="59"/>
      <c r="M48" s="4"/>
      <c r="N48" s="4"/>
      <c r="O48" s="4"/>
      <c r="P48" s="4"/>
      <c r="Q48" s="4"/>
      <c r="R48" s="4"/>
      <c r="S48" s="4"/>
      <c r="T48" s="4"/>
      <c r="U48" s="4"/>
      <c r="V48" s="4"/>
      <c r="W48" s="4"/>
      <c r="X48" s="4"/>
      <c r="Y48" s="4"/>
      <c r="Z48" s="4"/>
    </row>
    <row r="49" spans="1:26" ht="12.75" customHeight="1">
      <c r="A49" s="4" t="s">
        <v>139</v>
      </c>
      <c r="B49" s="308"/>
      <c r="C49" s="4" t="s">
        <v>136</v>
      </c>
      <c r="D49" s="4"/>
      <c r="E49" s="4"/>
      <c r="F49" s="4"/>
      <c r="G49" s="4"/>
      <c r="I49" s="4"/>
      <c r="J49" s="4"/>
      <c r="K49" s="4"/>
      <c r="L49" s="59"/>
      <c r="M49" s="4"/>
      <c r="N49" s="4"/>
      <c r="O49" s="4"/>
      <c r="P49" s="4"/>
      <c r="Q49" s="4"/>
      <c r="R49" s="4"/>
      <c r="S49" s="4"/>
      <c r="T49" s="4"/>
      <c r="U49" s="4"/>
      <c r="V49" s="4"/>
      <c r="W49" s="4"/>
      <c r="X49" s="4"/>
      <c r="Y49" s="4"/>
      <c r="Z49" s="4"/>
    </row>
    <row r="50" spans="1:26" ht="12.75" customHeight="1">
      <c r="A50" s="4" t="s">
        <v>140</v>
      </c>
      <c r="B50" s="308"/>
      <c r="C50" s="4" t="s">
        <v>136</v>
      </c>
      <c r="D50" s="4"/>
      <c r="E50" s="4"/>
      <c r="F50" s="4"/>
      <c r="G50" s="4"/>
      <c r="I50" s="4"/>
      <c r="J50" s="4"/>
      <c r="K50" s="4"/>
      <c r="L50" s="59"/>
      <c r="M50" s="4"/>
      <c r="N50" s="4"/>
      <c r="O50" s="4"/>
      <c r="P50" s="4"/>
      <c r="Q50" s="4"/>
      <c r="R50" s="4"/>
      <c r="S50" s="4"/>
      <c r="T50" s="4"/>
      <c r="U50" s="4"/>
      <c r="V50" s="4"/>
      <c r="W50" s="4"/>
      <c r="X50" s="4"/>
      <c r="Y50" s="4"/>
      <c r="Z50" s="4"/>
    </row>
    <row r="51" spans="1:26" ht="12.75" customHeight="1">
      <c r="A51" s="4" t="s">
        <v>141</v>
      </c>
      <c r="B51" s="308"/>
      <c r="C51" s="4" t="s">
        <v>136</v>
      </c>
      <c r="D51" s="4"/>
      <c r="E51" s="4"/>
      <c r="F51" s="4"/>
      <c r="G51" s="4"/>
      <c r="I51" s="4"/>
      <c r="J51" s="4"/>
      <c r="K51" s="4"/>
      <c r="L51" s="59"/>
      <c r="M51" s="4"/>
      <c r="N51" s="4"/>
      <c r="O51" s="4"/>
      <c r="P51" s="4"/>
      <c r="Q51" s="4"/>
      <c r="R51" s="4"/>
      <c r="S51" s="4"/>
      <c r="T51" s="4"/>
      <c r="U51" s="4"/>
      <c r="V51" s="4"/>
      <c r="W51" s="4"/>
      <c r="X51" s="4"/>
      <c r="Y51" s="4"/>
      <c r="Z51" s="4"/>
    </row>
    <row r="52" spans="1:26" ht="12.75" customHeight="1">
      <c r="A52" s="4" t="s">
        <v>142</v>
      </c>
      <c r="B52" s="308"/>
      <c r="C52" s="4" t="s">
        <v>136</v>
      </c>
      <c r="D52" s="4"/>
      <c r="E52" s="4"/>
      <c r="F52" s="4"/>
      <c r="G52" s="4"/>
      <c r="I52" s="4"/>
      <c r="J52" s="4"/>
      <c r="K52" s="4"/>
      <c r="L52" s="59"/>
      <c r="M52" s="4"/>
      <c r="N52" s="4"/>
      <c r="O52" s="4"/>
      <c r="P52" s="4"/>
      <c r="Q52" s="4"/>
      <c r="R52" s="4"/>
      <c r="S52" s="4"/>
      <c r="T52" s="4"/>
      <c r="U52" s="4"/>
      <c r="V52" s="4"/>
      <c r="W52" s="4"/>
      <c r="X52" s="4"/>
      <c r="Y52" s="4"/>
      <c r="Z52" s="4"/>
    </row>
    <row r="53" spans="1:26" ht="12.75" customHeight="1">
      <c r="A53" s="4" t="s">
        <v>143</v>
      </c>
      <c r="B53" s="308"/>
      <c r="C53" s="4" t="s">
        <v>136</v>
      </c>
      <c r="D53" s="4"/>
      <c r="E53" s="4"/>
      <c r="F53" s="4"/>
      <c r="G53" s="4"/>
      <c r="I53" s="4"/>
      <c r="J53" s="4"/>
      <c r="K53" s="4"/>
      <c r="L53" s="59"/>
      <c r="M53" s="4"/>
      <c r="N53" s="4"/>
      <c r="O53" s="4"/>
      <c r="P53" s="4"/>
      <c r="Q53" s="4"/>
      <c r="R53" s="4"/>
      <c r="S53" s="4"/>
      <c r="T53" s="4"/>
      <c r="U53" s="4"/>
      <c r="V53" s="4"/>
      <c r="W53" s="4"/>
      <c r="X53" s="4"/>
      <c r="Y53" s="4"/>
      <c r="Z53" s="4"/>
    </row>
    <row r="54" spans="1:26" ht="12.75" customHeight="1">
      <c r="A54" s="4" t="s">
        <v>144</v>
      </c>
      <c r="B54" s="308"/>
      <c r="C54" s="4" t="s">
        <v>136</v>
      </c>
      <c r="D54" s="4"/>
      <c r="E54" s="4"/>
      <c r="F54" s="4"/>
      <c r="G54" s="4"/>
      <c r="I54" s="4"/>
      <c r="J54" s="4"/>
      <c r="K54" s="4"/>
      <c r="L54" s="59"/>
      <c r="M54" s="4"/>
      <c r="N54" s="4"/>
      <c r="O54" s="4"/>
      <c r="P54" s="4"/>
      <c r="Q54" s="4"/>
      <c r="R54" s="4"/>
      <c r="S54" s="4"/>
      <c r="T54" s="4"/>
      <c r="U54" s="4"/>
      <c r="V54" s="4"/>
      <c r="W54" s="4"/>
      <c r="X54" s="4"/>
      <c r="Y54" s="4"/>
      <c r="Z54" s="4"/>
    </row>
    <row r="55" spans="1:26" ht="12.75" customHeight="1">
      <c r="A55" s="4" t="s">
        <v>145</v>
      </c>
      <c r="B55" s="308"/>
      <c r="C55" s="4" t="s">
        <v>136</v>
      </c>
      <c r="D55" s="4"/>
      <c r="E55" s="4"/>
      <c r="F55" s="4"/>
      <c r="G55" s="4"/>
      <c r="I55" s="4"/>
      <c r="J55" s="4"/>
      <c r="K55" s="4"/>
      <c r="L55" s="59"/>
      <c r="M55" s="4"/>
      <c r="N55" s="4"/>
      <c r="O55" s="4"/>
      <c r="P55" s="4"/>
      <c r="Q55" s="4"/>
      <c r="R55" s="4"/>
      <c r="S55" s="4"/>
      <c r="T55" s="4"/>
      <c r="U55" s="4"/>
      <c r="V55" s="4"/>
      <c r="W55" s="4"/>
      <c r="X55" s="4"/>
      <c r="Y55" s="4"/>
      <c r="Z55" s="4"/>
    </row>
    <row r="56" spans="1:26" ht="12.75" customHeight="1">
      <c r="A56" s="4" t="s">
        <v>146</v>
      </c>
      <c r="B56" s="308"/>
      <c r="C56" s="4" t="s">
        <v>136</v>
      </c>
      <c r="D56" s="4"/>
      <c r="E56" s="4"/>
      <c r="F56" s="4"/>
      <c r="G56" s="4"/>
      <c r="I56" s="4"/>
      <c r="J56" s="4"/>
      <c r="K56" s="4"/>
      <c r="L56" s="59"/>
      <c r="M56" s="4"/>
      <c r="N56" s="4"/>
      <c r="O56" s="4"/>
      <c r="P56" s="4"/>
      <c r="Q56" s="4"/>
      <c r="R56" s="4"/>
      <c r="S56" s="4"/>
      <c r="T56" s="4"/>
      <c r="U56" s="4"/>
      <c r="V56" s="4"/>
      <c r="W56" s="4"/>
      <c r="X56" s="4"/>
      <c r="Y56" s="4"/>
      <c r="Z56" s="4"/>
    </row>
    <row r="57" spans="1:26" ht="12.75" customHeight="1">
      <c r="A57" s="4"/>
      <c r="B57" s="104"/>
      <c r="C57" s="4"/>
      <c r="D57" s="4"/>
      <c r="E57" s="4"/>
      <c r="F57" s="4"/>
      <c r="G57" s="4"/>
      <c r="I57" s="4"/>
      <c r="J57" s="4"/>
      <c r="K57" s="4"/>
      <c r="L57" s="59"/>
      <c r="M57" s="4"/>
      <c r="N57" s="4"/>
      <c r="O57" s="4"/>
      <c r="P57" s="4"/>
      <c r="Q57" s="4"/>
      <c r="R57" s="4"/>
      <c r="S57" s="4"/>
      <c r="T57" s="4"/>
      <c r="U57" s="4"/>
      <c r="V57" s="4"/>
      <c r="W57" s="4"/>
      <c r="X57" s="4"/>
      <c r="Y57" s="4"/>
      <c r="Z57" s="4"/>
    </row>
    <row r="58" spans="1:26" ht="12.75" customHeight="1">
      <c r="A58" s="4"/>
      <c r="B58" s="105"/>
      <c r="C58" s="4"/>
      <c r="D58" s="4"/>
      <c r="E58" s="4"/>
      <c r="F58" s="4"/>
      <c r="G58" s="4"/>
      <c r="I58" s="4"/>
      <c r="J58" s="4"/>
      <c r="K58" s="4"/>
      <c r="L58" s="59"/>
      <c r="M58" s="4"/>
      <c r="N58" s="4"/>
      <c r="O58" s="4"/>
      <c r="P58" s="4"/>
      <c r="Q58" s="4"/>
      <c r="R58" s="4"/>
      <c r="S58" s="4"/>
      <c r="T58" s="4"/>
      <c r="U58" s="4"/>
      <c r="V58" s="4"/>
      <c r="W58" s="4"/>
      <c r="X58" s="4"/>
      <c r="Y58" s="4"/>
      <c r="Z58" s="4"/>
    </row>
    <row r="59" spans="1:26" ht="12.75" customHeight="1">
      <c r="A59" s="4"/>
      <c r="B59" s="105"/>
      <c r="C59" s="4"/>
      <c r="D59" s="4"/>
      <c r="E59" s="4"/>
      <c r="F59" s="4"/>
      <c r="G59" s="4"/>
      <c r="I59" s="4"/>
      <c r="J59" s="4"/>
      <c r="K59" s="4"/>
      <c r="L59" s="59"/>
      <c r="M59" s="4"/>
      <c r="N59" s="4"/>
      <c r="O59" s="4"/>
      <c r="P59" s="4"/>
      <c r="Q59" s="4"/>
      <c r="R59" s="4"/>
      <c r="S59" s="4"/>
      <c r="T59" s="4"/>
      <c r="U59" s="4"/>
      <c r="V59" s="4"/>
      <c r="W59" s="4"/>
      <c r="X59" s="4"/>
      <c r="Y59" s="4"/>
      <c r="Z59" s="4"/>
    </row>
    <row r="60" spans="1:26" ht="12.75" customHeight="1">
      <c r="A60" s="4"/>
      <c r="B60" s="105"/>
      <c r="C60" s="4"/>
      <c r="D60" s="4"/>
      <c r="E60" s="4"/>
      <c r="F60" s="4"/>
      <c r="G60" s="4"/>
      <c r="I60" s="4"/>
      <c r="J60" s="4"/>
      <c r="K60" s="4"/>
      <c r="L60" s="59"/>
      <c r="M60" s="4"/>
      <c r="N60" s="4"/>
      <c r="O60" s="4"/>
      <c r="P60" s="4"/>
      <c r="Q60" s="4"/>
      <c r="R60" s="4"/>
      <c r="S60" s="4"/>
      <c r="T60" s="4"/>
      <c r="U60" s="4"/>
      <c r="V60" s="4"/>
      <c r="W60" s="4"/>
      <c r="X60" s="4"/>
      <c r="Y60" s="4"/>
      <c r="Z60" s="4"/>
    </row>
    <row r="61" spans="1:26" ht="12.75" customHeight="1">
      <c r="A61" s="101" t="s">
        <v>147</v>
      </c>
      <c r="B61" s="4"/>
      <c r="C61" s="4"/>
      <c r="D61" s="4"/>
      <c r="E61" s="4"/>
      <c r="F61" s="4"/>
      <c r="G61" s="4"/>
      <c r="I61" s="4"/>
      <c r="J61" s="4"/>
      <c r="K61" s="4"/>
      <c r="L61" s="59"/>
      <c r="M61" s="4"/>
      <c r="N61" s="4"/>
      <c r="O61" s="4"/>
      <c r="P61" s="4"/>
      <c r="Q61" s="4"/>
      <c r="R61" s="4"/>
      <c r="S61" s="4"/>
      <c r="T61" s="4"/>
      <c r="U61" s="4"/>
      <c r="V61" s="4"/>
      <c r="W61" s="4"/>
      <c r="X61" s="4"/>
      <c r="Y61" s="4"/>
      <c r="Z61" s="4"/>
    </row>
    <row r="62" spans="1:26" ht="12.75" customHeight="1">
      <c r="A62" s="19"/>
      <c r="B62" s="19"/>
      <c r="C62" s="104"/>
      <c r="D62" s="104"/>
      <c r="E62" s="104"/>
      <c r="F62" s="104"/>
      <c r="G62" s="104"/>
      <c r="I62" s="104"/>
      <c r="J62" s="4"/>
      <c r="K62" s="4"/>
      <c r="L62" s="59"/>
      <c r="M62" s="4"/>
      <c r="N62" s="4"/>
      <c r="O62" s="4"/>
      <c r="P62" s="4"/>
      <c r="Q62" s="4"/>
      <c r="R62" s="4"/>
      <c r="S62" s="4"/>
      <c r="T62" s="4"/>
      <c r="U62" s="4"/>
      <c r="V62" s="4"/>
      <c r="W62" s="4"/>
      <c r="X62" s="4"/>
      <c r="Y62" s="4"/>
      <c r="Z62" s="4"/>
    </row>
    <row r="63" spans="1:26" ht="12.75" customHeight="1">
      <c r="A63" s="19"/>
      <c r="B63" s="19"/>
      <c r="C63" s="104"/>
      <c r="D63" s="104"/>
      <c r="E63" s="104"/>
      <c r="F63" s="104"/>
      <c r="G63" s="104"/>
      <c r="I63" s="104"/>
      <c r="J63" s="4"/>
      <c r="K63" s="4"/>
      <c r="L63" s="59"/>
      <c r="M63" s="4"/>
      <c r="N63" s="4"/>
      <c r="O63" s="4"/>
      <c r="P63" s="4"/>
      <c r="Q63" s="4"/>
      <c r="R63" s="4"/>
      <c r="S63" s="4"/>
      <c r="T63" s="4"/>
      <c r="U63" s="4"/>
      <c r="V63" s="4"/>
      <c r="W63" s="4"/>
      <c r="X63" s="4"/>
      <c r="Y63" s="4"/>
      <c r="Z63" s="4"/>
    </row>
    <row r="64" spans="1:26" ht="12.75" customHeight="1">
      <c r="A64" s="19"/>
      <c r="B64" s="19"/>
      <c r="C64" s="104"/>
      <c r="D64" s="104"/>
      <c r="E64" s="104"/>
      <c r="F64" s="104"/>
      <c r="G64" s="104"/>
      <c r="I64" s="104"/>
      <c r="J64" s="4"/>
      <c r="K64" s="4"/>
      <c r="L64" s="59"/>
      <c r="M64" s="4"/>
      <c r="N64" s="4"/>
      <c r="O64" s="4"/>
      <c r="P64" s="4"/>
      <c r="Q64" s="4"/>
      <c r="R64" s="4"/>
      <c r="S64" s="4"/>
      <c r="T64" s="4"/>
      <c r="U64" s="4"/>
      <c r="V64" s="4"/>
      <c r="W64" s="4"/>
      <c r="X64" s="4"/>
      <c r="Y64" s="4"/>
      <c r="Z64" s="4"/>
    </row>
    <row r="65" spans="1:26" ht="12.75" customHeight="1">
      <c r="A65" s="19"/>
      <c r="B65" s="19"/>
      <c r="C65" s="104"/>
      <c r="D65" s="104"/>
      <c r="E65" s="104"/>
      <c r="F65" s="104"/>
      <c r="G65" s="104"/>
      <c r="I65" s="104"/>
      <c r="J65" s="4"/>
      <c r="K65" s="4"/>
      <c r="L65" s="59"/>
      <c r="M65" s="4"/>
      <c r="N65" s="4"/>
      <c r="O65" s="4"/>
      <c r="P65" s="4"/>
      <c r="Q65" s="4"/>
      <c r="R65" s="4"/>
      <c r="S65" s="4"/>
      <c r="T65" s="4"/>
      <c r="U65" s="4"/>
      <c r="V65" s="4"/>
      <c r="W65" s="4"/>
      <c r="X65" s="4"/>
      <c r="Y65" s="4"/>
      <c r="Z65" s="4"/>
    </row>
    <row r="66" spans="1:26" ht="12.75" customHeight="1">
      <c r="A66" s="19"/>
      <c r="B66" s="104"/>
      <c r="C66" s="106"/>
      <c r="D66" s="106"/>
      <c r="E66" s="106"/>
      <c r="F66" s="106"/>
      <c r="G66" s="106"/>
      <c r="I66" s="104"/>
      <c r="J66" s="4"/>
      <c r="K66" s="4"/>
      <c r="L66" s="59"/>
      <c r="M66" s="4"/>
      <c r="N66" s="4"/>
      <c r="O66" s="4"/>
      <c r="P66" s="4"/>
      <c r="Q66" s="4"/>
      <c r="R66" s="4"/>
      <c r="S66" s="4"/>
      <c r="T66" s="4"/>
      <c r="U66" s="4"/>
      <c r="V66" s="4"/>
      <c r="W66" s="4"/>
      <c r="X66" s="4"/>
      <c r="Y66" s="4"/>
      <c r="Z66" s="4"/>
    </row>
    <row r="67" spans="1:26" ht="12.75" customHeight="1">
      <c r="A67" s="4" t="s">
        <v>148</v>
      </c>
      <c r="B67" s="105">
        <f t="shared" ref="B67:G67" si="8">SUM(B62:B66)</f>
        <v>0</v>
      </c>
      <c r="C67" s="105">
        <f t="shared" si="8"/>
        <v>0</v>
      </c>
      <c r="D67" s="105">
        <f t="shared" si="8"/>
        <v>0</v>
      </c>
      <c r="E67" s="105">
        <f t="shared" si="8"/>
        <v>0</v>
      </c>
      <c r="F67" s="105">
        <f t="shared" si="8"/>
        <v>0</v>
      </c>
      <c r="G67" s="105">
        <f t="shared" si="8"/>
        <v>0</v>
      </c>
      <c r="I67" s="105"/>
      <c r="J67" s="4"/>
      <c r="K67" s="4"/>
      <c r="L67" s="59"/>
      <c r="M67" s="4"/>
      <c r="N67" s="4"/>
      <c r="O67" s="4"/>
      <c r="P67" s="4"/>
      <c r="Q67" s="4"/>
      <c r="R67" s="4"/>
      <c r="S67" s="4"/>
      <c r="T67" s="4"/>
      <c r="U67" s="4"/>
      <c r="V67" s="4"/>
      <c r="W67" s="4"/>
      <c r="X67" s="4"/>
      <c r="Y67" s="4"/>
      <c r="Z67" s="4"/>
    </row>
    <row r="68" spans="1:26" ht="12.75" customHeight="1">
      <c r="L68" s="107"/>
    </row>
    <row r="69" spans="1:26" ht="12.75" customHeight="1">
      <c r="A69" s="309" t="s">
        <v>149</v>
      </c>
      <c r="B69" s="310"/>
      <c r="C69" s="310"/>
      <c r="D69" s="310"/>
      <c r="E69" s="311"/>
      <c r="F69" s="312"/>
      <c r="L69" s="107"/>
    </row>
    <row r="70" spans="1:26" ht="12.75" customHeight="1">
      <c r="A70" s="313">
        <v>0.33</v>
      </c>
      <c r="B70" s="314">
        <f>$A70*'Page 1-Enrollment Plan'!B21</f>
        <v>23.76</v>
      </c>
      <c r="C70" s="314">
        <f>$A70*'Page 1-Enrollment Plan'!C21</f>
        <v>31.68</v>
      </c>
      <c r="D70" s="314">
        <f>$A70*'Page 1-Enrollment Plan'!D21</f>
        <v>47.52</v>
      </c>
      <c r="E70" s="315">
        <f>$A70*'Page 1-Enrollment Plan'!E21</f>
        <v>52.800000000000004</v>
      </c>
      <c r="F70" s="315">
        <f>$A70*'Page 1-Enrollment Plan'!F21</f>
        <v>63.36</v>
      </c>
      <c r="G70" s="108" t="s">
        <v>150</v>
      </c>
      <c r="L70" s="107"/>
    </row>
    <row r="71" spans="1:26" ht="12.75" customHeight="1">
      <c r="A71" s="316" t="s">
        <v>151</v>
      </c>
      <c r="B71" s="17"/>
      <c r="C71" s="17"/>
      <c r="D71" s="17"/>
      <c r="E71" s="317"/>
      <c r="F71" s="317"/>
      <c r="L71" s="107"/>
    </row>
    <row r="72" spans="1:26" ht="12.75" customHeight="1">
      <c r="A72" s="318">
        <v>0.5</v>
      </c>
      <c r="B72" s="319">
        <f>$A72*'Page 1-Enrollment Plan'!B21</f>
        <v>36</v>
      </c>
      <c r="C72" s="319">
        <f>$A72*'Page 1-Enrollment Plan'!C21</f>
        <v>48</v>
      </c>
      <c r="D72" s="319">
        <f>$A72*'Page 1-Enrollment Plan'!D21</f>
        <v>72</v>
      </c>
      <c r="E72" s="320">
        <f>$A72*'Page 1-Enrollment Plan'!E21</f>
        <v>80</v>
      </c>
      <c r="F72" s="320">
        <f>$A72*'Page 1-Enrollment Plan'!F21</f>
        <v>96</v>
      </c>
      <c r="G72" s="108" t="s">
        <v>152</v>
      </c>
      <c r="L72" s="107"/>
    </row>
    <row r="73" spans="1:26" ht="12.75" customHeight="1">
      <c r="L73" s="107"/>
    </row>
  </sheetData>
  <mergeCells count="2">
    <mergeCell ref="I4:J4"/>
    <mergeCell ref="I31:J31"/>
  </mergeCells>
  <printOptions horizontalCentered="1"/>
  <pageMargins left="1" right="1" top="0.27013888888888898" bottom="0.2"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1000"/>
  <sheetViews>
    <sheetView workbookViewId="0"/>
  </sheetViews>
  <sheetFormatPr defaultColWidth="12.5703125" defaultRowHeight="15" customHeight="1"/>
  <cols>
    <col min="1" max="1" width="44.42578125" customWidth="1"/>
    <col min="2" max="4" width="15.140625" customWidth="1"/>
    <col min="5" max="24" width="8.5703125" customWidth="1"/>
  </cols>
  <sheetData>
    <row r="1" spans="1:24" ht="12.75" customHeight="1">
      <c r="A1" s="109">
        <f>'Page 3-Assumptions'!A1</f>
        <v>0</v>
      </c>
      <c r="B1" s="110"/>
      <c r="C1" s="110"/>
      <c r="D1" s="111"/>
      <c r="E1" s="4"/>
      <c r="F1" s="4"/>
      <c r="G1" s="4"/>
      <c r="H1" s="4"/>
      <c r="I1" s="4"/>
      <c r="J1" s="4"/>
      <c r="K1" s="4"/>
      <c r="L1" s="4"/>
      <c r="M1" s="4"/>
      <c r="N1" s="4"/>
      <c r="O1" s="4"/>
      <c r="P1" s="4"/>
      <c r="Q1" s="4"/>
      <c r="R1" s="4"/>
      <c r="S1" s="4"/>
      <c r="T1" s="4"/>
      <c r="U1" s="4"/>
      <c r="V1" s="4"/>
      <c r="W1" s="4"/>
      <c r="X1" s="4"/>
    </row>
    <row r="2" spans="1:24" ht="18.600000000000001">
      <c r="A2" s="321" t="str">
        <f>B3</f>
        <v>YEAR 0</v>
      </c>
      <c r="B2" s="258"/>
      <c r="C2" s="258"/>
      <c r="D2" s="27"/>
      <c r="E2" s="4"/>
      <c r="F2" s="4"/>
      <c r="G2" s="4"/>
      <c r="H2" s="4"/>
      <c r="I2" s="4"/>
      <c r="J2" s="4"/>
      <c r="K2" s="4"/>
      <c r="L2" s="4"/>
      <c r="M2" s="4"/>
      <c r="N2" s="4"/>
      <c r="O2" s="4"/>
      <c r="P2" s="4"/>
      <c r="Q2" s="4"/>
      <c r="R2" s="4"/>
      <c r="S2" s="4"/>
      <c r="T2" s="4"/>
      <c r="U2" s="4"/>
      <c r="V2" s="4"/>
      <c r="W2" s="4"/>
      <c r="X2" s="4"/>
    </row>
    <row r="3" spans="1:24" ht="12.75" customHeight="1">
      <c r="A3" s="322"/>
      <c r="B3" s="323" t="str">
        <f>'Page 10-6 yr Budget-detail'!B4</f>
        <v>YEAR 0</v>
      </c>
      <c r="C3" s="252"/>
      <c r="D3" s="253"/>
      <c r="E3" s="112"/>
      <c r="F3" s="112"/>
      <c r="G3" s="112"/>
      <c r="H3" s="112"/>
      <c r="I3" s="112"/>
      <c r="J3" s="112"/>
      <c r="K3" s="112"/>
      <c r="L3" s="112"/>
      <c r="M3" s="112"/>
      <c r="N3" s="112"/>
      <c r="O3" s="112"/>
      <c r="P3" s="112"/>
      <c r="Q3" s="112"/>
      <c r="R3" s="112"/>
      <c r="S3" s="112"/>
      <c r="T3" s="112"/>
      <c r="U3" s="112"/>
      <c r="V3" s="112"/>
      <c r="W3" s="112"/>
      <c r="X3" s="112"/>
    </row>
    <row r="4" spans="1:24" ht="12.75" customHeight="1">
      <c r="A4" s="256"/>
      <c r="B4" s="113" t="s">
        <v>153</v>
      </c>
      <c r="C4" s="113" t="s">
        <v>154</v>
      </c>
      <c r="D4" s="113" t="s">
        <v>148</v>
      </c>
      <c r="E4" s="112"/>
      <c r="F4" s="112"/>
      <c r="G4" s="112"/>
      <c r="H4" s="112"/>
      <c r="I4" s="112"/>
      <c r="J4" s="112"/>
      <c r="K4" s="112"/>
      <c r="L4" s="112"/>
      <c r="M4" s="112"/>
      <c r="N4" s="112"/>
      <c r="O4" s="112"/>
      <c r="P4" s="112"/>
      <c r="Q4" s="112"/>
      <c r="R4" s="112"/>
      <c r="S4" s="112"/>
      <c r="T4" s="112"/>
      <c r="U4" s="112"/>
      <c r="V4" s="112"/>
      <c r="W4" s="112"/>
      <c r="X4" s="112"/>
    </row>
    <row r="5" spans="1:24" ht="12.75" customHeight="1">
      <c r="A5" s="324" t="s">
        <v>155</v>
      </c>
      <c r="B5" s="325"/>
      <c r="C5" s="325"/>
      <c r="D5" s="114" t="s">
        <v>101</v>
      </c>
      <c r="E5" s="112"/>
      <c r="F5" s="112"/>
      <c r="G5" s="112"/>
      <c r="H5" s="112"/>
      <c r="I5" s="112"/>
      <c r="J5" s="112"/>
      <c r="K5" s="112"/>
      <c r="L5" s="112"/>
      <c r="M5" s="112"/>
      <c r="N5" s="112"/>
      <c r="O5" s="112"/>
      <c r="P5" s="112"/>
      <c r="Q5" s="112"/>
      <c r="R5" s="112"/>
      <c r="S5" s="112"/>
      <c r="T5" s="112"/>
      <c r="U5" s="112"/>
      <c r="V5" s="112"/>
      <c r="W5" s="112"/>
      <c r="X5" s="112"/>
    </row>
    <row r="6" spans="1:24" ht="12.75" customHeight="1">
      <c r="A6" s="324" t="s">
        <v>156</v>
      </c>
      <c r="B6" s="325"/>
      <c r="C6" s="325"/>
      <c r="D6" s="115" t="s">
        <v>101</v>
      </c>
      <c r="E6" s="112"/>
      <c r="F6" s="112"/>
      <c r="G6" s="112"/>
      <c r="H6" s="112"/>
      <c r="I6" s="112"/>
      <c r="J6" s="112"/>
      <c r="K6" s="112"/>
      <c r="L6" s="112"/>
      <c r="M6" s="112"/>
      <c r="N6" s="112"/>
      <c r="O6" s="112"/>
      <c r="P6" s="112"/>
      <c r="Q6" s="112"/>
      <c r="R6" s="112"/>
      <c r="S6" s="112"/>
      <c r="T6" s="112"/>
      <c r="U6" s="112"/>
      <c r="V6" s="112"/>
      <c r="W6" s="112"/>
      <c r="X6" s="112"/>
    </row>
    <row r="7" spans="1:24" ht="12.75" customHeight="1">
      <c r="A7" s="256" t="s">
        <v>53</v>
      </c>
      <c r="B7" s="325"/>
      <c r="C7" s="325"/>
      <c r="D7" s="326"/>
      <c r="E7" s="112"/>
      <c r="F7" s="112"/>
      <c r="G7" s="112"/>
      <c r="H7" s="112"/>
      <c r="I7" s="112"/>
      <c r="J7" s="112"/>
      <c r="K7" s="112"/>
      <c r="L7" s="112"/>
      <c r="M7" s="112"/>
      <c r="N7" s="112"/>
      <c r="O7" s="112"/>
      <c r="P7" s="112"/>
      <c r="Q7" s="112"/>
      <c r="R7" s="112"/>
      <c r="S7" s="112"/>
      <c r="T7" s="112"/>
      <c r="U7" s="112"/>
      <c r="V7" s="112"/>
      <c r="W7" s="112"/>
      <c r="X7" s="112"/>
    </row>
    <row r="8" spans="1:24" ht="33.75" customHeight="1">
      <c r="A8" s="298" t="s">
        <v>157</v>
      </c>
      <c r="B8" s="116">
        <v>220000</v>
      </c>
      <c r="C8" s="117">
        <v>0</v>
      </c>
      <c r="D8" s="118">
        <f t="shared" ref="D8:D19" si="0">SUM(B8:C8)</f>
        <v>220000</v>
      </c>
      <c r="E8" s="4"/>
      <c r="F8" s="4"/>
      <c r="G8" s="4"/>
      <c r="H8" s="4"/>
      <c r="I8" s="4"/>
      <c r="J8" s="4"/>
      <c r="K8" s="4"/>
      <c r="L8" s="4"/>
      <c r="M8" s="4"/>
      <c r="N8" s="4"/>
      <c r="O8" s="4"/>
      <c r="P8" s="4"/>
      <c r="Q8" s="4"/>
      <c r="R8" s="4"/>
      <c r="S8" s="4"/>
      <c r="T8" s="4"/>
      <c r="U8" s="4"/>
      <c r="V8" s="4"/>
      <c r="W8" s="4"/>
      <c r="X8" s="4"/>
    </row>
    <row r="9" spans="1:24" ht="12.75" customHeight="1">
      <c r="A9" s="141" t="s">
        <v>158</v>
      </c>
      <c r="B9" s="119" t="str">
        <f>'Page 3-Assumptions'!B25</f>
        <v>N/A</v>
      </c>
      <c r="C9" s="119">
        <v>0</v>
      </c>
      <c r="D9" s="118">
        <f t="shared" si="0"/>
        <v>0</v>
      </c>
      <c r="E9" s="4"/>
      <c r="F9" s="4"/>
      <c r="G9" s="4"/>
      <c r="H9" s="4"/>
      <c r="I9" s="4"/>
      <c r="J9" s="4"/>
      <c r="K9" s="4"/>
      <c r="L9" s="4"/>
      <c r="M9" s="4"/>
      <c r="N9" s="4"/>
      <c r="O9" s="4"/>
      <c r="P9" s="4"/>
      <c r="Q9" s="4"/>
      <c r="R9" s="4"/>
      <c r="S9" s="4"/>
      <c r="T9" s="4"/>
      <c r="U9" s="4"/>
      <c r="V9" s="4"/>
      <c r="W9" s="4"/>
      <c r="X9" s="4"/>
    </row>
    <row r="10" spans="1:24" ht="12.75" customHeight="1">
      <c r="A10" s="141" t="s">
        <v>159</v>
      </c>
      <c r="B10" s="116"/>
      <c r="C10" s="116"/>
      <c r="D10" s="118">
        <f t="shared" si="0"/>
        <v>0</v>
      </c>
      <c r="E10" s="4"/>
      <c r="F10" s="4"/>
      <c r="G10" s="4"/>
      <c r="H10" s="4"/>
      <c r="I10" s="4"/>
      <c r="J10" s="4"/>
      <c r="K10" s="4"/>
      <c r="L10" s="4"/>
      <c r="M10" s="4"/>
      <c r="N10" s="4"/>
      <c r="O10" s="4"/>
      <c r="P10" s="4"/>
      <c r="Q10" s="4"/>
      <c r="R10" s="4"/>
      <c r="S10" s="4"/>
      <c r="T10" s="4"/>
      <c r="U10" s="4"/>
      <c r="V10" s="4"/>
      <c r="W10" s="4"/>
      <c r="X10" s="4"/>
    </row>
    <row r="11" spans="1:24" ht="12.75" customHeight="1">
      <c r="A11" s="141" t="s">
        <v>160</v>
      </c>
      <c r="B11" s="120"/>
      <c r="C11" s="116"/>
      <c r="D11" s="118">
        <f t="shared" si="0"/>
        <v>0</v>
      </c>
      <c r="E11" s="4"/>
      <c r="F11" s="4"/>
      <c r="G11" s="4"/>
      <c r="H11" s="4"/>
      <c r="I11" s="4"/>
      <c r="J11" s="4"/>
      <c r="K11" s="4"/>
      <c r="L11" s="4"/>
      <c r="M11" s="4"/>
      <c r="N11" s="4"/>
      <c r="O11" s="4"/>
      <c r="P11" s="4"/>
      <c r="Q11" s="4"/>
      <c r="R11" s="4"/>
      <c r="S11" s="4"/>
      <c r="T11" s="4"/>
      <c r="U11" s="4"/>
      <c r="V11" s="4"/>
      <c r="W11" s="4"/>
      <c r="X11" s="4"/>
    </row>
    <row r="12" spans="1:24" ht="12.75" customHeight="1">
      <c r="A12" s="141" t="s">
        <v>161</v>
      </c>
      <c r="B12" s="116"/>
      <c r="C12" s="116"/>
      <c r="D12" s="118">
        <f t="shared" si="0"/>
        <v>0</v>
      </c>
      <c r="E12" s="4"/>
      <c r="F12" s="4"/>
      <c r="G12" s="4"/>
      <c r="H12" s="4"/>
      <c r="I12" s="4"/>
      <c r="J12" s="4"/>
      <c r="K12" s="4"/>
      <c r="L12" s="4"/>
      <c r="M12" s="4"/>
      <c r="N12" s="4"/>
      <c r="O12" s="4"/>
      <c r="P12" s="4"/>
      <c r="Q12" s="4"/>
      <c r="R12" s="4"/>
      <c r="S12" s="4"/>
      <c r="T12" s="4"/>
      <c r="U12" s="4"/>
      <c r="V12" s="4"/>
      <c r="W12" s="4"/>
      <c r="X12" s="4"/>
    </row>
    <row r="13" spans="1:24" ht="12.75" customHeight="1">
      <c r="A13" s="141" t="s">
        <v>162</v>
      </c>
      <c r="B13" s="116"/>
      <c r="C13" s="116"/>
      <c r="D13" s="118">
        <f t="shared" si="0"/>
        <v>0</v>
      </c>
      <c r="E13" s="4"/>
      <c r="F13" s="4"/>
      <c r="G13" s="4"/>
      <c r="H13" s="4"/>
      <c r="I13" s="4"/>
      <c r="J13" s="4"/>
      <c r="K13" s="4"/>
      <c r="L13" s="4"/>
      <c r="M13" s="4"/>
      <c r="N13" s="4"/>
      <c r="O13" s="4"/>
      <c r="P13" s="4"/>
      <c r="Q13" s="4"/>
      <c r="R13" s="4"/>
      <c r="S13" s="4"/>
      <c r="T13" s="4"/>
      <c r="U13" s="4"/>
      <c r="V13" s="4"/>
      <c r="W13" s="4"/>
      <c r="X13" s="4"/>
    </row>
    <row r="14" spans="1:24" ht="12.75" customHeight="1">
      <c r="A14" s="327" t="s">
        <v>163</v>
      </c>
      <c r="B14" s="116">
        <v>75000</v>
      </c>
      <c r="C14" s="116"/>
      <c r="D14" s="118">
        <f t="shared" si="0"/>
        <v>75000</v>
      </c>
      <c r="E14" s="4"/>
      <c r="F14" s="4"/>
      <c r="G14" s="4"/>
      <c r="H14" s="4"/>
      <c r="I14" s="4"/>
      <c r="J14" s="4"/>
      <c r="K14" s="4"/>
      <c r="L14" s="4"/>
      <c r="M14" s="4"/>
      <c r="N14" s="4"/>
      <c r="O14" s="4"/>
      <c r="P14" s="4"/>
      <c r="Q14" s="4"/>
      <c r="R14" s="4"/>
      <c r="S14" s="4"/>
      <c r="T14" s="4"/>
      <c r="U14" s="4"/>
      <c r="V14" s="4"/>
      <c r="W14" s="4"/>
      <c r="X14" s="4"/>
    </row>
    <row r="15" spans="1:24" ht="12.75" customHeight="1">
      <c r="A15" s="327" t="s">
        <v>164</v>
      </c>
      <c r="B15" s="119" t="s">
        <v>165</v>
      </c>
      <c r="C15" s="119">
        <v>0</v>
      </c>
      <c r="D15" s="118">
        <f t="shared" si="0"/>
        <v>0</v>
      </c>
      <c r="E15" s="4"/>
      <c r="F15" s="4"/>
      <c r="G15" s="4"/>
      <c r="H15" s="4"/>
      <c r="I15" s="4"/>
      <c r="J15" s="4"/>
      <c r="K15" s="4"/>
      <c r="L15" s="4"/>
      <c r="M15" s="4"/>
      <c r="N15" s="4"/>
      <c r="O15" s="4"/>
      <c r="P15" s="4"/>
      <c r="Q15" s="4"/>
      <c r="R15" s="4"/>
      <c r="S15" s="4"/>
      <c r="T15" s="4"/>
      <c r="U15" s="4"/>
      <c r="V15" s="4"/>
      <c r="W15" s="4"/>
      <c r="X15" s="4"/>
    </row>
    <row r="16" spans="1:24" ht="12.75" customHeight="1">
      <c r="A16" s="327" t="s">
        <v>166</v>
      </c>
      <c r="B16" s="119">
        <f>'Page 3-Assumptions'!B9</f>
        <v>0</v>
      </c>
      <c r="C16" s="119">
        <v>0</v>
      </c>
      <c r="D16" s="118">
        <f t="shared" si="0"/>
        <v>0</v>
      </c>
      <c r="E16" s="4"/>
      <c r="F16" s="4"/>
      <c r="G16" s="4"/>
      <c r="H16" s="4"/>
      <c r="I16" s="4"/>
      <c r="J16" s="4"/>
      <c r="K16" s="4"/>
      <c r="L16" s="4"/>
      <c r="M16" s="4"/>
      <c r="N16" s="4"/>
      <c r="O16" s="4"/>
      <c r="P16" s="4"/>
      <c r="Q16" s="4"/>
      <c r="R16" s="4"/>
      <c r="S16" s="4"/>
      <c r="T16" s="4"/>
      <c r="U16" s="4"/>
      <c r="V16" s="4"/>
      <c r="W16" s="4"/>
      <c r="X16" s="4"/>
    </row>
    <row r="17" spans="1:24" ht="12.75" customHeight="1">
      <c r="A17" s="141" t="s">
        <v>167</v>
      </c>
      <c r="B17" s="119">
        <v>0</v>
      </c>
      <c r="C17" s="119">
        <f>'Page 3-Assumptions'!B11</f>
        <v>0</v>
      </c>
      <c r="D17" s="118">
        <f t="shared" si="0"/>
        <v>0</v>
      </c>
      <c r="E17" s="4"/>
      <c r="F17" s="4"/>
      <c r="G17" s="4"/>
      <c r="H17" s="4"/>
      <c r="I17" s="4"/>
      <c r="J17" s="4"/>
      <c r="K17" s="4"/>
      <c r="L17" s="4"/>
      <c r="M17" s="4"/>
      <c r="N17" s="4"/>
      <c r="O17" s="4"/>
      <c r="P17" s="4"/>
      <c r="Q17" s="4"/>
      <c r="R17" s="4"/>
      <c r="S17" s="4"/>
      <c r="T17" s="4"/>
      <c r="U17" s="4"/>
      <c r="V17" s="4"/>
      <c r="W17" s="4"/>
      <c r="X17" s="4"/>
    </row>
    <row r="18" spans="1:24" ht="12.75" customHeight="1">
      <c r="A18" s="141" t="s">
        <v>80</v>
      </c>
      <c r="B18" s="119">
        <f>'Page 3-Assumptions'!B14</f>
        <v>0</v>
      </c>
      <c r="C18" s="119">
        <v>0</v>
      </c>
      <c r="D18" s="118">
        <f t="shared" si="0"/>
        <v>0</v>
      </c>
      <c r="E18" s="4"/>
      <c r="F18" s="4"/>
      <c r="G18" s="4"/>
      <c r="H18" s="4"/>
      <c r="I18" s="4"/>
      <c r="J18" s="4"/>
      <c r="K18" s="4"/>
      <c r="L18" s="4"/>
      <c r="M18" s="4"/>
      <c r="N18" s="4"/>
      <c r="O18" s="4"/>
      <c r="P18" s="4"/>
      <c r="Q18" s="4"/>
      <c r="R18" s="4"/>
      <c r="S18" s="4"/>
      <c r="T18" s="4"/>
      <c r="U18" s="4"/>
      <c r="V18" s="4"/>
      <c r="W18" s="4"/>
      <c r="X18" s="4"/>
    </row>
    <row r="19" spans="1:24" ht="12.75" customHeight="1">
      <c r="A19" s="141" t="s">
        <v>168</v>
      </c>
      <c r="B19" s="117"/>
      <c r="C19" s="116"/>
      <c r="D19" s="118">
        <f t="shared" si="0"/>
        <v>0</v>
      </c>
      <c r="E19" s="4"/>
      <c r="F19" s="4"/>
      <c r="G19" s="4"/>
      <c r="H19" s="4"/>
      <c r="I19" s="4"/>
      <c r="J19" s="4"/>
      <c r="K19" s="4"/>
      <c r="L19" s="4"/>
      <c r="M19" s="4"/>
      <c r="N19" s="4"/>
      <c r="O19" s="4"/>
      <c r="P19" s="4"/>
      <c r="Q19" s="4"/>
      <c r="R19" s="4"/>
      <c r="S19" s="4"/>
      <c r="T19" s="4"/>
      <c r="U19" s="4"/>
      <c r="V19" s="4"/>
      <c r="W19" s="4"/>
      <c r="X19" s="4"/>
    </row>
    <row r="20" spans="1:24" ht="17.25" customHeight="1">
      <c r="A20" s="141" t="s">
        <v>82</v>
      </c>
      <c r="B20" s="119">
        <f>'Page 3-Assumptions'!B16</f>
        <v>0</v>
      </c>
      <c r="C20" s="119">
        <v>0</v>
      </c>
      <c r="D20" s="118"/>
      <c r="E20" s="4"/>
      <c r="F20" s="4"/>
      <c r="G20" s="4"/>
      <c r="H20" s="4"/>
      <c r="I20" s="4"/>
      <c r="J20" s="4"/>
      <c r="K20" s="4"/>
      <c r="L20" s="4"/>
      <c r="M20" s="4"/>
      <c r="N20" s="4"/>
      <c r="O20" s="4"/>
      <c r="P20" s="4"/>
      <c r="Q20" s="4"/>
      <c r="R20" s="4"/>
      <c r="S20" s="4"/>
      <c r="T20" s="4"/>
      <c r="U20" s="4"/>
      <c r="V20" s="4"/>
      <c r="W20" s="4"/>
      <c r="X20" s="4"/>
    </row>
    <row r="21" spans="1:24" ht="13.5" customHeight="1">
      <c r="A21" s="141" t="s">
        <v>88</v>
      </c>
      <c r="B21" s="119">
        <f>'Page 3-Assumptions'!B18</f>
        <v>0</v>
      </c>
      <c r="C21" s="119">
        <v>0</v>
      </c>
      <c r="D21" s="118"/>
      <c r="E21" s="4"/>
      <c r="F21" s="4"/>
      <c r="G21" s="4"/>
      <c r="H21" s="4"/>
      <c r="I21" s="4"/>
      <c r="J21" s="4"/>
      <c r="K21" s="4"/>
      <c r="L21" s="4"/>
      <c r="M21" s="4"/>
      <c r="N21" s="4"/>
      <c r="O21" s="4"/>
      <c r="P21" s="4"/>
      <c r="Q21" s="4"/>
      <c r="R21" s="4"/>
      <c r="S21" s="4"/>
      <c r="T21" s="4"/>
      <c r="U21" s="4"/>
      <c r="V21" s="4"/>
      <c r="W21" s="4"/>
      <c r="X21" s="4"/>
    </row>
    <row r="22" spans="1:24" ht="15.75" customHeight="1">
      <c r="A22" s="141" t="s">
        <v>90</v>
      </c>
      <c r="B22" s="119">
        <v>0</v>
      </c>
      <c r="C22" s="119">
        <f>'Page 3-Assumptions'!B19</f>
        <v>0</v>
      </c>
      <c r="D22" s="118">
        <f t="shared" ref="D22:D29" si="1">SUM(B22:C22)</f>
        <v>0</v>
      </c>
      <c r="E22" s="4"/>
      <c r="F22" s="4"/>
      <c r="G22" s="4"/>
      <c r="H22" s="4"/>
      <c r="I22" s="4"/>
      <c r="J22" s="4"/>
      <c r="K22" s="4"/>
      <c r="L22" s="4"/>
      <c r="M22" s="4"/>
      <c r="N22" s="4"/>
      <c r="O22" s="4"/>
      <c r="P22" s="4"/>
      <c r="Q22" s="4"/>
      <c r="R22" s="4"/>
      <c r="S22" s="4"/>
      <c r="T22" s="4"/>
      <c r="U22" s="4"/>
      <c r="V22" s="4"/>
      <c r="W22" s="4"/>
      <c r="X22" s="4"/>
    </row>
    <row r="23" spans="1:24" ht="15.75" customHeight="1">
      <c r="A23" s="141" t="s">
        <v>169</v>
      </c>
      <c r="B23" s="119">
        <v>0</v>
      </c>
      <c r="C23" s="119">
        <f>'Page 3-Assumptions'!B20</f>
        <v>0</v>
      </c>
      <c r="D23" s="118">
        <f t="shared" si="1"/>
        <v>0</v>
      </c>
      <c r="E23" s="4"/>
      <c r="F23" s="4"/>
      <c r="G23" s="4"/>
      <c r="H23" s="4"/>
      <c r="I23" s="4"/>
      <c r="J23" s="4"/>
      <c r="K23" s="4"/>
      <c r="L23" s="4"/>
      <c r="M23" s="4"/>
      <c r="N23" s="4"/>
      <c r="O23" s="4"/>
      <c r="P23" s="4"/>
      <c r="Q23" s="4"/>
      <c r="R23" s="4"/>
      <c r="S23" s="4"/>
      <c r="T23" s="4"/>
      <c r="U23" s="4"/>
      <c r="V23" s="4"/>
      <c r="W23" s="4"/>
      <c r="X23" s="4"/>
    </row>
    <row r="24" spans="1:24" ht="15.75" customHeight="1">
      <c r="A24" s="141" t="s">
        <v>95</v>
      </c>
      <c r="B24" s="119">
        <v>0</v>
      </c>
      <c r="C24" s="119">
        <f>'Page 3-Assumptions'!B21</f>
        <v>0</v>
      </c>
      <c r="D24" s="118">
        <f t="shared" si="1"/>
        <v>0</v>
      </c>
      <c r="E24" s="4"/>
      <c r="F24" s="4"/>
      <c r="G24" s="4"/>
      <c r="H24" s="4"/>
      <c r="I24" s="4"/>
      <c r="J24" s="4"/>
      <c r="K24" s="4"/>
      <c r="L24" s="4"/>
      <c r="M24" s="4"/>
      <c r="N24" s="4"/>
      <c r="O24" s="4"/>
      <c r="P24" s="4"/>
      <c r="Q24" s="4"/>
      <c r="R24" s="4"/>
      <c r="S24" s="4"/>
      <c r="T24" s="4"/>
      <c r="U24" s="4"/>
      <c r="V24" s="4"/>
      <c r="W24" s="4"/>
      <c r="X24" s="4"/>
    </row>
    <row r="25" spans="1:24" ht="15.75" customHeight="1">
      <c r="A25" s="141" t="s">
        <v>170</v>
      </c>
      <c r="B25" s="119">
        <v>0</v>
      </c>
      <c r="C25" s="119">
        <f>'Page 3-Assumptions'!B22</f>
        <v>0</v>
      </c>
      <c r="D25" s="118">
        <f t="shared" si="1"/>
        <v>0</v>
      </c>
      <c r="E25" s="4"/>
      <c r="F25" s="4"/>
      <c r="G25" s="4"/>
      <c r="H25" s="4"/>
      <c r="I25" s="4"/>
      <c r="J25" s="4"/>
      <c r="K25" s="4"/>
      <c r="L25" s="4"/>
      <c r="M25" s="4"/>
      <c r="N25" s="4"/>
      <c r="O25" s="4"/>
      <c r="P25" s="4"/>
      <c r="Q25" s="4"/>
      <c r="R25" s="4"/>
      <c r="S25" s="4"/>
      <c r="T25" s="4"/>
      <c r="U25" s="4"/>
      <c r="V25" s="4"/>
      <c r="W25" s="4"/>
      <c r="X25" s="4"/>
    </row>
    <row r="26" spans="1:24" ht="15.75" customHeight="1">
      <c r="A26" s="141" t="s">
        <v>171</v>
      </c>
      <c r="B26" s="116">
        <v>0</v>
      </c>
      <c r="C26" s="116">
        <v>0</v>
      </c>
      <c r="D26" s="118">
        <f t="shared" si="1"/>
        <v>0</v>
      </c>
      <c r="E26" s="4"/>
      <c r="F26" s="4"/>
      <c r="G26" s="4"/>
      <c r="H26" s="4"/>
      <c r="I26" s="4"/>
      <c r="J26" s="4"/>
      <c r="K26" s="4"/>
      <c r="L26" s="4"/>
      <c r="M26" s="4"/>
      <c r="N26" s="4"/>
      <c r="O26" s="4"/>
      <c r="P26" s="4"/>
      <c r="Q26" s="4"/>
      <c r="R26" s="4"/>
      <c r="S26" s="4"/>
      <c r="T26" s="4"/>
      <c r="U26" s="4"/>
      <c r="V26" s="4"/>
      <c r="W26" s="4"/>
      <c r="X26" s="4"/>
    </row>
    <row r="27" spans="1:24" ht="12.75" customHeight="1">
      <c r="A27" s="141" t="s">
        <v>172</v>
      </c>
      <c r="B27" s="116"/>
      <c r="C27" s="116">
        <v>0</v>
      </c>
      <c r="D27" s="118">
        <f t="shared" si="1"/>
        <v>0</v>
      </c>
      <c r="E27" s="4"/>
      <c r="F27" s="4"/>
      <c r="G27" s="4"/>
      <c r="H27" s="4"/>
      <c r="I27" s="4"/>
      <c r="J27" s="4"/>
      <c r="K27" s="4"/>
      <c r="L27" s="4"/>
      <c r="M27" s="4"/>
      <c r="N27" s="4"/>
      <c r="O27" s="4"/>
      <c r="P27" s="4"/>
      <c r="Q27" s="4"/>
      <c r="R27" s="4"/>
      <c r="S27" s="4"/>
      <c r="T27" s="4"/>
      <c r="U27" s="4"/>
      <c r="V27" s="4"/>
      <c r="W27" s="4"/>
      <c r="X27" s="4"/>
    </row>
    <row r="28" spans="1:24" ht="15.75" customHeight="1">
      <c r="A28" s="141" t="s">
        <v>57</v>
      </c>
      <c r="B28" s="119"/>
      <c r="C28" s="119">
        <v>0</v>
      </c>
      <c r="D28" s="118">
        <f t="shared" si="1"/>
        <v>0</v>
      </c>
      <c r="E28" s="4"/>
      <c r="F28" s="4"/>
      <c r="G28" s="4"/>
      <c r="H28" s="4"/>
      <c r="I28" s="4"/>
      <c r="J28" s="4"/>
      <c r="K28" s="4"/>
      <c r="L28" s="4"/>
      <c r="M28" s="4"/>
      <c r="N28" s="4"/>
      <c r="O28" s="4"/>
      <c r="P28" s="4"/>
      <c r="Q28" s="4"/>
      <c r="R28" s="4"/>
      <c r="S28" s="4"/>
      <c r="T28" s="4"/>
      <c r="U28" s="4"/>
      <c r="V28" s="4"/>
      <c r="W28" s="4"/>
      <c r="X28" s="4"/>
    </row>
    <row r="29" spans="1:24" ht="15.75" customHeight="1">
      <c r="A29" s="141" t="s">
        <v>173</v>
      </c>
      <c r="B29" s="121">
        <f>'Page 3-Assumptions'!B6</f>
        <v>0</v>
      </c>
      <c r="C29" s="121">
        <v>0</v>
      </c>
      <c r="D29" s="118">
        <f t="shared" si="1"/>
        <v>0</v>
      </c>
      <c r="E29" s="4"/>
      <c r="F29" s="4"/>
      <c r="G29" s="4"/>
      <c r="H29" s="4"/>
      <c r="I29" s="4"/>
      <c r="J29" s="4"/>
      <c r="K29" s="4"/>
      <c r="L29" s="4"/>
      <c r="M29" s="4"/>
      <c r="N29" s="4"/>
      <c r="O29" s="4"/>
      <c r="P29" s="4"/>
      <c r="Q29" s="4"/>
      <c r="R29" s="4"/>
      <c r="S29" s="4"/>
      <c r="T29" s="4"/>
      <c r="U29" s="4"/>
      <c r="V29" s="4"/>
      <c r="W29" s="4"/>
      <c r="X29" s="4"/>
    </row>
    <row r="30" spans="1:24" ht="15.75" customHeight="1">
      <c r="A30" s="122" t="s">
        <v>174</v>
      </c>
      <c r="B30" s="123">
        <f t="shared" ref="B30:D30" si="2">SUM(B8:B29)</f>
        <v>295000</v>
      </c>
      <c r="C30" s="123">
        <f t="shared" si="2"/>
        <v>0</v>
      </c>
      <c r="D30" s="123">
        <f t="shared" si="2"/>
        <v>295000</v>
      </c>
      <c r="E30" s="4"/>
      <c r="F30" s="4"/>
      <c r="G30" s="4"/>
      <c r="H30" s="4"/>
      <c r="I30" s="4"/>
      <c r="J30" s="4"/>
      <c r="K30" s="4"/>
      <c r="L30" s="4"/>
      <c r="M30" s="4"/>
      <c r="N30" s="4"/>
      <c r="O30" s="4"/>
      <c r="P30" s="4"/>
      <c r="Q30" s="4"/>
      <c r="R30" s="4"/>
      <c r="S30" s="4"/>
      <c r="T30" s="4"/>
      <c r="U30" s="4"/>
      <c r="V30" s="4"/>
      <c r="W30" s="4"/>
      <c r="X30" s="4"/>
    </row>
    <row r="31" spans="1:24" ht="15.75" customHeight="1">
      <c r="A31" s="328"/>
      <c r="B31" s="329"/>
      <c r="C31" s="329"/>
      <c r="D31" s="330"/>
      <c r="E31" s="4"/>
      <c r="F31" s="4"/>
      <c r="G31" s="4"/>
      <c r="H31" s="4"/>
      <c r="I31" s="4"/>
      <c r="J31" s="4"/>
      <c r="K31" s="4"/>
      <c r="L31" s="4"/>
      <c r="M31" s="4"/>
      <c r="N31" s="4"/>
      <c r="O31" s="4"/>
      <c r="P31" s="4"/>
      <c r="Q31" s="4"/>
      <c r="R31" s="4"/>
      <c r="S31" s="4"/>
      <c r="T31" s="4"/>
      <c r="U31" s="4"/>
      <c r="V31" s="4"/>
      <c r="W31" s="4"/>
      <c r="X31" s="4"/>
    </row>
    <row r="32" spans="1:24" ht="15.75" customHeight="1">
      <c r="A32" s="331" t="s">
        <v>106</v>
      </c>
      <c r="B32" s="329"/>
      <c r="C32" s="329"/>
      <c r="D32" s="330"/>
      <c r="E32" s="4"/>
      <c r="F32" s="4"/>
      <c r="G32" s="4"/>
      <c r="H32" s="4"/>
      <c r="I32" s="4"/>
      <c r="J32" s="4"/>
      <c r="K32" s="4"/>
      <c r="L32" s="4"/>
      <c r="M32" s="4"/>
      <c r="N32" s="4"/>
      <c r="O32" s="4"/>
      <c r="P32" s="4"/>
      <c r="Q32" s="4"/>
      <c r="R32" s="4"/>
      <c r="S32" s="4"/>
      <c r="T32" s="4"/>
      <c r="U32" s="4"/>
      <c r="V32" s="4"/>
      <c r="W32" s="4"/>
      <c r="X32" s="4"/>
    </row>
    <row r="33" spans="1:24" ht="15.75" customHeight="1">
      <c r="A33" s="141" t="s">
        <v>175</v>
      </c>
      <c r="B33" s="124">
        <v>23750</v>
      </c>
      <c r="C33" s="117"/>
      <c r="D33" s="118">
        <f t="shared" ref="D33:D74" si="3">SUM(B33:C33)</f>
        <v>23750</v>
      </c>
      <c r="E33" s="4"/>
      <c r="F33" s="4"/>
      <c r="G33" s="4"/>
      <c r="H33" s="4"/>
      <c r="I33" s="4"/>
      <c r="J33" s="4"/>
      <c r="K33" s="4"/>
      <c r="L33" s="4"/>
      <c r="M33" s="4"/>
      <c r="N33" s="4"/>
      <c r="O33" s="4"/>
      <c r="P33" s="4"/>
      <c r="Q33" s="4"/>
      <c r="R33" s="4"/>
      <c r="S33" s="4"/>
      <c r="T33" s="4"/>
      <c r="U33" s="4"/>
      <c r="V33" s="4"/>
      <c r="W33" s="4"/>
      <c r="X33" s="4"/>
    </row>
    <row r="34" spans="1:24" ht="15.75" customHeight="1">
      <c r="A34" s="141" t="s">
        <v>176</v>
      </c>
      <c r="B34" s="120">
        <f>(60000/12)*1.5*0.8*5</f>
        <v>30000</v>
      </c>
      <c r="C34" s="117"/>
      <c r="D34" s="118">
        <f t="shared" si="3"/>
        <v>30000</v>
      </c>
      <c r="E34" s="4"/>
      <c r="F34" s="4"/>
      <c r="G34" s="4"/>
      <c r="H34" s="4"/>
      <c r="I34" s="4"/>
      <c r="J34" s="4"/>
      <c r="K34" s="4"/>
      <c r="L34" s="4"/>
      <c r="M34" s="4"/>
      <c r="N34" s="4"/>
      <c r="O34" s="4"/>
      <c r="P34" s="4"/>
      <c r="Q34" s="4"/>
      <c r="R34" s="4"/>
      <c r="S34" s="4"/>
      <c r="T34" s="4"/>
      <c r="U34" s="4"/>
      <c r="V34" s="4"/>
      <c r="W34" s="4"/>
      <c r="X34" s="4"/>
    </row>
    <row r="35" spans="1:24" ht="15.75" customHeight="1">
      <c r="A35" s="141" t="s">
        <v>177</v>
      </c>
      <c r="B35" s="125">
        <f>(B33+B34)*1.45%</f>
        <v>779.375</v>
      </c>
      <c r="C35" s="117"/>
      <c r="D35" s="118">
        <f t="shared" si="3"/>
        <v>779.375</v>
      </c>
      <c r="E35" s="4"/>
      <c r="F35" s="4"/>
      <c r="G35" s="4"/>
      <c r="H35" s="4"/>
      <c r="I35" s="4"/>
      <c r="J35" s="4"/>
      <c r="K35" s="4"/>
      <c r="L35" s="4"/>
      <c r="M35" s="4"/>
      <c r="N35" s="4"/>
      <c r="O35" s="4"/>
      <c r="P35" s="4"/>
      <c r="Q35" s="4"/>
      <c r="R35" s="4"/>
      <c r="S35" s="4"/>
      <c r="T35" s="4"/>
      <c r="U35" s="4"/>
      <c r="V35" s="4"/>
      <c r="W35" s="4"/>
      <c r="X35" s="4"/>
    </row>
    <row r="36" spans="1:24" ht="27" customHeight="1">
      <c r="A36" s="141" t="s">
        <v>178</v>
      </c>
      <c r="B36" s="125">
        <f>(B33+B34)*6.2%</f>
        <v>3332.5</v>
      </c>
      <c r="C36" s="117"/>
      <c r="D36" s="118">
        <f t="shared" si="3"/>
        <v>3332.5</v>
      </c>
      <c r="E36" s="4"/>
      <c r="F36" s="4"/>
      <c r="G36" s="4"/>
      <c r="H36" s="4"/>
      <c r="I36" s="4"/>
      <c r="J36" s="4"/>
      <c r="K36" s="4"/>
      <c r="L36" s="4"/>
      <c r="M36" s="4"/>
      <c r="N36" s="4"/>
      <c r="O36" s="4"/>
      <c r="P36" s="4"/>
      <c r="Q36" s="4"/>
      <c r="R36" s="4"/>
      <c r="S36" s="4"/>
      <c r="T36" s="4"/>
      <c r="U36" s="4"/>
      <c r="V36" s="4"/>
      <c r="W36" s="4"/>
      <c r="X36" s="4"/>
    </row>
    <row r="37" spans="1:24" ht="15.75" customHeight="1">
      <c r="A37" s="141" t="s">
        <v>179</v>
      </c>
      <c r="B37" s="126"/>
      <c r="C37" s="117"/>
      <c r="D37" s="118">
        <f t="shared" si="3"/>
        <v>0</v>
      </c>
      <c r="E37" s="4"/>
      <c r="F37" s="4"/>
      <c r="G37" s="4"/>
      <c r="H37" s="4"/>
      <c r="I37" s="4"/>
      <c r="J37" s="4"/>
      <c r="K37" s="4"/>
      <c r="L37" s="4"/>
      <c r="M37" s="4"/>
      <c r="N37" s="4"/>
      <c r="O37" s="4"/>
      <c r="P37" s="4"/>
      <c r="Q37" s="4"/>
      <c r="R37" s="4"/>
      <c r="S37" s="4"/>
      <c r="T37" s="4"/>
      <c r="U37" s="4"/>
      <c r="V37" s="4"/>
      <c r="W37" s="4"/>
      <c r="X37" s="4"/>
    </row>
    <row r="38" spans="1:24" ht="21" customHeight="1">
      <c r="A38" s="141" t="s">
        <v>180</v>
      </c>
      <c r="B38" s="119">
        <v>1250</v>
      </c>
      <c r="C38" s="117"/>
      <c r="D38" s="118">
        <f t="shared" si="3"/>
        <v>1250</v>
      </c>
      <c r="E38" s="4"/>
      <c r="F38" s="4"/>
      <c r="G38" s="4"/>
      <c r="H38" s="4"/>
      <c r="I38" s="4"/>
      <c r="J38" s="4"/>
      <c r="K38" s="4"/>
      <c r="L38" s="4"/>
      <c r="M38" s="4"/>
      <c r="N38" s="4"/>
      <c r="O38" s="4"/>
      <c r="P38" s="4"/>
      <c r="Q38" s="4"/>
      <c r="R38" s="4"/>
      <c r="S38" s="4"/>
      <c r="T38" s="4"/>
      <c r="U38" s="4"/>
      <c r="V38" s="4"/>
      <c r="W38" s="4"/>
      <c r="X38" s="4"/>
    </row>
    <row r="39" spans="1:24" ht="15.75" customHeight="1">
      <c r="A39" s="141" t="s">
        <v>181</v>
      </c>
      <c r="B39" s="119">
        <v>82.5</v>
      </c>
      <c r="C39" s="117"/>
      <c r="D39" s="118">
        <f t="shared" si="3"/>
        <v>82.5</v>
      </c>
      <c r="E39" s="4"/>
      <c r="F39" s="4"/>
      <c r="G39" s="4"/>
      <c r="H39" s="4"/>
      <c r="I39" s="4"/>
      <c r="J39" s="4"/>
      <c r="K39" s="4"/>
      <c r="L39" s="4"/>
      <c r="M39" s="4"/>
      <c r="N39" s="4"/>
      <c r="O39" s="4"/>
      <c r="P39" s="4"/>
      <c r="Q39" s="4"/>
      <c r="R39" s="4"/>
      <c r="S39" s="4"/>
      <c r="T39" s="4"/>
      <c r="U39" s="4"/>
      <c r="V39" s="4"/>
      <c r="W39" s="4"/>
      <c r="X39" s="4"/>
    </row>
    <row r="40" spans="1:24" ht="15.75" customHeight="1">
      <c r="A40" s="141" t="s">
        <v>182</v>
      </c>
      <c r="B40" s="119">
        <f>'Page 3-Assumptions'!B43*('Page 2-Staffing Plan'!D38-'Page 2-Staffing Plan'!C38)</f>
        <v>0</v>
      </c>
      <c r="C40" s="117"/>
      <c r="D40" s="118">
        <f t="shared" si="3"/>
        <v>0</v>
      </c>
      <c r="E40" s="4"/>
      <c r="F40" s="4"/>
      <c r="G40" s="4"/>
      <c r="H40" s="4"/>
      <c r="I40" s="4"/>
      <c r="J40" s="4"/>
      <c r="K40" s="4"/>
      <c r="L40" s="4"/>
      <c r="M40" s="4"/>
      <c r="N40" s="4"/>
      <c r="O40" s="4"/>
      <c r="P40" s="4"/>
      <c r="Q40" s="4"/>
      <c r="R40" s="4"/>
      <c r="S40" s="4"/>
      <c r="T40" s="4"/>
      <c r="U40" s="4"/>
      <c r="V40" s="4"/>
      <c r="W40" s="4"/>
      <c r="X40" s="4"/>
    </row>
    <row r="41" spans="1:24" ht="15.75" customHeight="1">
      <c r="A41" s="141" t="s">
        <v>183</v>
      </c>
      <c r="B41" s="119">
        <v>0</v>
      </c>
      <c r="C41" s="117"/>
      <c r="D41" s="118">
        <f t="shared" si="3"/>
        <v>0</v>
      </c>
      <c r="E41" s="4"/>
      <c r="F41" s="4"/>
      <c r="G41" s="4"/>
      <c r="H41" s="4"/>
      <c r="I41" s="4"/>
      <c r="J41" s="4"/>
      <c r="K41" s="4"/>
      <c r="L41" s="4"/>
      <c r="M41" s="4"/>
      <c r="N41" s="4"/>
      <c r="O41" s="4"/>
      <c r="P41" s="4"/>
      <c r="Q41" s="4"/>
      <c r="R41" s="4"/>
      <c r="S41" s="4"/>
      <c r="T41" s="4"/>
      <c r="U41" s="4"/>
      <c r="V41" s="4"/>
      <c r="W41" s="4"/>
      <c r="X41" s="4"/>
    </row>
    <row r="42" spans="1:24" ht="15.75" customHeight="1">
      <c r="A42" s="141" t="s">
        <v>184</v>
      </c>
      <c r="B42" s="127">
        <v>700</v>
      </c>
      <c r="C42" s="128"/>
      <c r="D42" s="118">
        <f t="shared" si="3"/>
        <v>700</v>
      </c>
      <c r="E42" s="4"/>
      <c r="F42" s="4"/>
      <c r="G42" s="4"/>
      <c r="H42" s="4"/>
      <c r="I42" s="4"/>
      <c r="J42" s="4"/>
      <c r="K42" s="4"/>
      <c r="L42" s="4"/>
      <c r="M42" s="4"/>
      <c r="N42" s="4"/>
      <c r="O42" s="4"/>
      <c r="P42" s="4"/>
      <c r="Q42" s="4"/>
      <c r="R42" s="4"/>
      <c r="S42" s="4"/>
      <c r="T42" s="4"/>
      <c r="U42" s="4"/>
      <c r="V42" s="4"/>
      <c r="W42" s="4"/>
      <c r="X42" s="4"/>
    </row>
    <row r="43" spans="1:24" ht="15.75" customHeight="1">
      <c r="A43" s="141" t="s">
        <v>185</v>
      </c>
      <c r="B43" s="129">
        <v>5000</v>
      </c>
      <c r="C43" s="117"/>
      <c r="D43" s="118">
        <f t="shared" si="3"/>
        <v>5000</v>
      </c>
      <c r="E43" s="4"/>
      <c r="F43" s="4"/>
      <c r="G43" s="4"/>
      <c r="H43" s="4"/>
      <c r="I43" s="4"/>
      <c r="J43" s="4"/>
      <c r="K43" s="4"/>
      <c r="L43" s="4"/>
      <c r="M43" s="4"/>
      <c r="N43" s="4"/>
      <c r="O43" s="4"/>
      <c r="P43" s="4"/>
      <c r="Q43" s="4"/>
      <c r="R43" s="4"/>
      <c r="S43" s="4"/>
      <c r="T43" s="4"/>
      <c r="U43" s="4"/>
      <c r="V43" s="4"/>
      <c r="W43" s="4"/>
      <c r="X43" s="4"/>
    </row>
    <row r="44" spans="1:24" ht="15.75" customHeight="1">
      <c r="A44" s="141" t="s">
        <v>186</v>
      </c>
      <c r="B44" s="116">
        <v>1500</v>
      </c>
      <c r="C44" s="117"/>
      <c r="D44" s="118">
        <f t="shared" si="3"/>
        <v>1500</v>
      </c>
      <c r="E44" s="4"/>
      <c r="F44" s="4"/>
      <c r="G44" s="4"/>
      <c r="H44" s="4"/>
      <c r="I44" s="4"/>
      <c r="J44" s="4"/>
      <c r="K44" s="4"/>
      <c r="L44" s="4"/>
      <c r="M44" s="4"/>
      <c r="N44" s="4"/>
      <c r="O44" s="4"/>
      <c r="P44" s="4"/>
      <c r="Q44" s="4"/>
      <c r="R44" s="4"/>
      <c r="S44" s="4"/>
      <c r="T44" s="4"/>
      <c r="U44" s="4"/>
      <c r="V44" s="4"/>
      <c r="W44" s="4"/>
      <c r="X44" s="4"/>
    </row>
    <row r="45" spans="1:24" ht="15.75" customHeight="1">
      <c r="A45" s="141" t="s">
        <v>187</v>
      </c>
      <c r="B45" s="116">
        <v>3000</v>
      </c>
      <c r="C45" s="117"/>
      <c r="D45" s="118">
        <f t="shared" si="3"/>
        <v>3000</v>
      </c>
      <c r="E45" s="4"/>
      <c r="F45" s="4"/>
      <c r="G45" s="4"/>
      <c r="H45" s="4"/>
      <c r="I45" s="4"/>
      <c r="J45" s="4"/>
      <c r="K45" s="4"/>
      <c r="L45" s="4"/>
      <c r="M45" s="4"/>
      <c r="N45" s="4"/>
      <c r="O45" s="4"/>
      <c r="P45" s="4"/>
      <c r="Q45" s="4"/>
      <c r="R45" s="4"/>
      <c r="S45" s="4"/>
      <c r="T45" s="4"/>
      <c r="U45" s="4"/>
      <c r="V45" s="4"/>
      <c r="W45" s="4"/>
      <c r="X45" s="4"/>
    </row>
    <row r="46" spans="1:24" ht="15.75" customHeight="1">
      <c r="A46" s="141" t="s">
        <v>188</v>
      </c>
      <c r="B46" s="116">
        <f>(2700/2)*6</f>
        <v>8100</v>
      </c>
      <c r="C46" s="117"/>
      <c r="D46" s="118">
        <f t="shared" si="3"/>
        <v>8100</v>
      </c>
      <c r="E46" s="4"/>
      <c r="F46" s="4"/>
      <c r="G46" s="4"/>
      <c r="H46" s="4"/>
      <c r="I46" s="4"/>
      <c r="J46" s="4"/>
      <c r="K46" s="4"/>
      <c r="L46" s="4"/>
      <c r="M46" s="4"/>
      <c r="N46" s="4"/>
      <c r="O46" s="4"/>
      <c r="P46" s="4"/>
      <c r="Q46" s="4"/>
      <c r="R46" s="4"/>
      <c r="S46" s="4"/>
      <c r="T46" s="4"/>
      <c r="U46" s="4"/>
      <c r="V46" s="4"/>
      <c r="W46" s="4"/>
      <c r="X46" s="4"/>
    </row>
    <row r="47" spans="1:24" ht="15.75" customHeight="1">
      <c r="A47" s="141" t="s">
        <v>189</v>
      </c>
      <c r="B47" s="116">
        <v>13000</v>
      </c>
      <c r="C47" s="117"/>
      <c r="D47" s="118">
        <f t="shared" si="3"/>
        <v>13000</v>
      </c>
      <c r="E47" s="4"/>
      <c r="F47" s="4"/>
      <c r="G47" s="4"/>
      <c r="H47" s="4"/>
      <c r="I47" s="4"/>
      <c r="J47" s="4"/>
      <c r="K47" s="4"/>
      <c r="L47" s="4"/>
      <c r="M47" s="4"/>
      <c r="N47" s="4"/>
      <c r="O47" s="4"/>
      <c r="P47" s="4"/>
      <c r="Q47" s="4"/>
      <c r="R47" s="4"/>
      <c r="S47" s="4"/>
      <c r="T47" s="4"/>
      <c r="U47" s="4"/>
      <c r="V47" s="4"/>
      <c r="W47" s="4"/>
      <c r="X47" s="4"/>
    </row>
    <row r="48" spans="1:24" ht="24.75" customHeight="1">
      <c r="A48" s="141" t="s">
        <v>190</v>
      </c>
      <c r="B48" s="116">
        <v>2500</v>
      </c>
      <c r="C48" s="117"/>
      <c r="D48" s="118">
        <f t="shared" si="3"/>
        <v>2500</v>
      </c>
      <c r="E48" s="4"/>
      <c r="F48" s="4"/>
      <c r="G48" s="4"/>
      <c r="H48" s="4"/>
      <c r="I48" s="4"/>
      <c r="J48" s="4"/>
      <c r="K48" s="4"/>
      <c r="L48" s="4"/>
      <c r="M48" s="4"/>
      <c r="N48" s="4"/>
      <c r="O48" s="4"/>
      <c r="P48" s="4"/>
      <c r="Q48" s="4"/>
      <c r="R48" s="4"/>
      <c r="S48" s="4"/>
      <c r="T48" s="4"/>
      <c r="U48" s="4"/>
      <c r="V48" s="4"/>
      <c r="W48" s="4"/>
      <c r="X48" s="4"/>
    </row>
    <row r="49" spans="1:24" ht="15.75" customHeight="1">
      <c r="A49" s="141" t="s">
        <v>191</v>
      </c>
      <c r="B49" s="127">
        <v>600</v>
      </c>
      <c r="C49" s="117"/>
      <c r="D49" s="118">
        <f t="shared" si="3"/>
        <v>600</v>
      </c>
      <c r="E49" s="4"/>
      <c r="F49" s="4"/>
      <c r="G49" s="4"/>
      <c r="H49" s="4"/>
      <c r="I49" s="4"/>
      <c r="J49" s="4"/>
      <c r="K49" s="4"/>
      <c r="L49" s="4"/>
      <c r="M49" s="4"/>
      <c r="N49" s="4"/>
      <c r="O49" s="4"/>
      <c r="P49" s="4"/>
      <c r="Q49" s="4"/>
      <c r="R49" s="4"/>
      <c r="S49" s="4"/>
      <c r="T49" s="4"/>
      <c r="U49" s="4"/>
      <c r="V49" s="4"/>
      <c r="W49" s="4"/>
      <c r="X49" s="4"/>
    </row>
    <row r="50" spans="1:24" ht="15.75" customHeight="1">
      <c r="A50" s="141" t="s">
        <v>192</v>
      </c>
      <c r="B50" s="127"/>
      <c r="C50" s="117"/>
      <c r="D50" s="118">
        <f t="shared" si="3"/>
        <v>0</v>
      </c>
      <c r="E50" s="4"/>
      <c r="F50" s="4"/>
      <c r="G50" s="4"/>
      <c r="H50" s="4"/>
      <c r="I50" s="4"/>
      <c r="J50" s="4"/>
      <c r="K50" s="4"/>
      <c r="L50" s="4"/>
      <c r="M50" s="4"/>
      <c r="N50" s="4"/>
      <c r="O50" s="4"/>
      <c r="P50" s="4"/>
      <c r="Q50" s="4"/>
      <c r="R50" s="4"/>
      <c r="S50" s="4"/>
      <c r="T50" s="4"/>
      <c r="U50" s="4"/>
      <c r="V50" s="4"/>
      <c r="W50" s="4"/>
      <c r="X50" s="4"/>
    </row>
    <row r="51" spans="1:24" ht="15.75" customHeight="1">
      <c r="A51" s="141" t="s">
        <v>193</v>
      </c>
      <c r="B51" s="116">
        <v>0</v>
      </c>
      <c r="C51" s="117"/>
      <c r="D51" s="118">
        <f t="shared" si="3"/>
        <v>0</v>
      </c>
      <c r="E51" s="4"/>
      <c r="F51" s="4"/>
      <c r="G51" s="4"/>
      <c r="H51" s="4"/>
      <c r="I51" s="4"/>
      <c r="J51" s="4"/>
      <c r="K51" s="4"/>
      <c r="L51" s="4"/>
      <c r="M51" s="4"/>
      <c r="N51" s="4"/>
      <c r="O51" s="4"/>
      <c r="P51" s="4"/>
      <c r="Q51" s="4"/>
      <c r="R51" s="4"/>
      <c r="S51" s="4"/>
      <c r="T51" s="4"/>
      <c r="U51" s="4"/>
      <c r="V51" s="4"/>
      <c r="W51" s="4"/>
      <c r="X51" s="4"/>
    </row>
    <row r="52" spans="1:24" ht="15.75" customHeight="1">
      <c r="A52" s="141" t="s">
        <v>194</v>
      </c>
      <c r="B52" s="127">
        <v>9000</v>
      </c>
      <c r="C52" s="117"/>
      <c r="D52" s="118">
        <f t="shared" si="3"/>
        <v>9000</v>
      </c>
      <c r="E52" s="4"/>
      <c r="F52" s="4"/>
      <c r="G52" s="4"/>
      <c r="H52" s="4"/>
      <c r="I52" s="4"/>
      <c r="J52" s="4"/>
      <c r="K52" s="4"/>
      <c r="L52" s="4"/>
      <c r="M52" s="4"/>
      <c r="N52" s="4"/>
      <c r="O52" s="4"/>
      <c r="P52" s="4"/>
      <c r="Q52" s="4"/>
      <c r="R52" s="4"/>
      <c r="S52" s="4"/>
      <c r="T52" s="4"/>
      <c r="U52" s="4"/>
      <c r="V52" s="4"/>
      <c r="W52" s="4"/>
      <c r="X52" s="4"/>
    </row>
    <row r="53" spans="1:24" ht="15.75" customHeight="1">
      <c r="A53" s="141" t="s">
        <v>195</v>
      </c>
      <c r="B53" s="127">
        <v>1000</v>
      </c>
      <c r="C53" s="117"/>
      <c r="D53" s="118">
        <f t="shared" si="3"/>
        <v>1000</v>
      </c>
      <c r="E53" s="4"/>
      <c r="F53" s="4"/>
      <c r="G53" s="4"/>
      <c r="H53" s="4"/>
      <c r="I53" s="4"/>
      <c r="J53" s="4"/>
      <c r="K53" s="4"/>
      <c r="L53" s="4"/>
      <c r="M53" s="4"/>
      <c r="N53" s="4"/>
      <c r="O53" s="4"/>
      <c r="P53" s="4"/>
      <c r="Q53" s="4"/>
      <c r="R53" s="4"/>
      <c r="S53" s="4"/>
      <c r="T53" s="4"/>
      <c r="U53" s="4"/>
      <c r="V53" s="4"/>
      <c r="W53" s="4"/>
      <c r="X53" s="4"/>
    </row>
    <row r="54" spans="1:24" ht="15.75" customHeight="1">
      <c r="A54" s="141" t="s">
        <v>196</v>
      </c>
      <c r="B54" s="119">
        <f>11776/4</f>
        <v>2944</v>
      </c>
      <c r="C54" s="117"/>
      <c r="D54" s="118">
        <f t="shared" si="3"/>
        <v>2944</v>
      </c>
      <c r="E54" s="4"/>
      <c r="F54" s="4"/>
      <c r="G54" s="4"/>
      <c r="H54" s="4"/>
      <c r="I54" s="4"/>
      <c r="J54" s="4"/>
      <c r="K54" s="4"/>
      <c r="L54" s="4"/>
      <c r="M54" s="4"/>
      <c r="N54" s="4"/>
      <c r="O54" s="4"/>
      <c r="P54" s="4"/>
      <c r="Q54" s="4"/>
      <c r="R54" s="4"/>
      <c r="S54" s="4"/>
      <c r="T54" s="4"/>
      <c r="U54" s="4"/>
      <c r="V54" s="4"/>
      <c r="W54" s="4"/>
      <c r="X54" s="4"/>
    </row>
    <row r="55" spans="1:24" ht="15.75" customHeight="1">
      <c r="A55" s="141" t="s">
        <v>197</v>
      </c>
      <c r="B55" s="119">
        <f>'Page 3-Assumptions'!$B$34*(B33+B34)</f>
        <v>161.25</v>
      </c>
      <c r="C55" s="117"/>
      <c r="D55" s="118">
        <f t="shared" si="3"/>
        <v>161.25</v>
      </c>
      <c r="E55" s="4"/>
      <c r="F55" s="4"/>
      <c r="G55" s="4"/>
      <c r="H55" s="4"/>
      <c r="I55" s="4"/>
      <c r="J55" s="4"/>
      <c r="K55" s="4"/>
      <c r="L55" s="4"/>
      <c r="M55" s="4"/>
      <c r="N55" s="4"/>
      <c r="O55" s="4"/>
      <c r="P55" s="4"/>
      <c r="Q55" s="4"/>
      <c r="R55" s="4"/>
      <c r="S55" s="4"/>
      <c r="T55" s="4"/>
      <c r="U55" s="4"/>
      <c r="V55" s="4"/>
      <c r="W55" s="4"/>
      <c r="X55" s="4"/>
    </row>
    <row r="56" spans="1:24" ht="15.75" customHeight="1">
      <c r="A56" s="141" t="s">
        <v>198</v>
      </c>
      <c r="B56" s="119"/>
      <c r="C56" s="117"/>
      <c r="D56" s="118">
        <f t="shared" si="3"/>
        <v>0</v>
      </c>
      <c r="E56" s="4"/>
      <c r="F56" s="4"/>
      <c r="G56" s="4"/>
      <c r="H56" s="4"/>
      <c r="I56" s="4"/>
      <c r="J56" s="4"/>
      <c r="K56" s="4"/>
      <c r="L56" s="4"/>
      <c r="M56" s="4"/>
      <c r="N56" s="4"/>
      <c r="O56" s="4"/>
      <c r="P56" s="4"/>
      <c r="Q56" s="4"/>
      <c r="R56" s="4"/>
      <c r="S56" s="4"/>
      <c r="T56" s="4"/>
      <c r="U56" s="4"/>
      <c r="V56" s="4"/>
      <c r="W56" s="4"/>
      <c r="X56" s="4"/>
    </row>
    <row r="57" spans="1:24" ht="15.75" customHeight="1">
      <c r="A57" s="141" t="s">
        <v>199</v>
      </c>
      <c r="B57" s="116"/>
      <c r="C57" s="117"/>
      <c r="D57" s="118">
        <f t="shared" si="3"/>
        <v>0</v>
      </c>
      <c r="E57" s="4"/>
      <c r="F57" s="4"/>
      <c r="G57" s="4"/>
      <c r="H57" s="4"/>
      <c r="I57" s="4"/>
      <c r="J57" s="4"/>
      <c r="K57" s="4"/>
      <c r="L57" s="4"/>
      <c r="M57" s="4"/>
      <c r="N57" s="4"/>
      <c r="O57" s="4"/>
      <c r="P57" s="4"/>
      <c r="Q57" s="4"/>
      <c r="R57" s="4"/>
      <c r="S57" s="4"/>
      <c r="T57" s="4"/>
      <c r="U57" s="4"/>
      <c r="V57" s="4"/>
      <c r="W57" s="4"/>
      <c r="X57" s="4"/>
    </row>
    <row r="58" spans="1:24" ht="15.75" customHeight="1">
      <c r="A58" s="141" t="s">
        <v>200</v>
      </c>
      <c r="B58" s="116"/>
      <c r="C58" s="117"/>
      <c r="D58" s="118">
        <f t="shared" si="3"/>
        <v>0</v>
      </c>
      <c r="E58" s="4"/>
      <c r="F58" s="4"/>
      <c r="G58" s="4"/>
      <c r="H58" s="4"/>
      <c r="I58" s="4"/>
      <c r="J58" s="4"/>
      <c r="K58" s="4"/>
      <c r="L58" s="4"/>
      <c r="M58" s="4"/>
      <c r="N58" s="4"/>
      <c r="O58" s="4"/>
      <c r="P58" s="4"/>
      <c r="Q58" s="4"/>
      <c r="R58" s="4"/>
      <c r="S58" s="4"/>
      <c r="T58" s="4"/>
      <c r="U58" s="4"/>
      <c r="V58" s="4"/>
      <c r="W58" s="4"/>
      <c r="X58" s="4"/>
    </row>
    <row r="59" spans="1:24" ht="15.75" customHeight="1">
      <c r="A59" s="141" t="s">
        <v>201</v>
      </c>
      <c r="B59" s="116">
        <v>4000</v>
      </c>
      <c r="C59" s="117"/>
      <c r="D59" s="118">
        <f t="shared" si="3"/>
        <v>4000</v>
      </c>
      <c r="E59" s="4"/>
      <c r="F59" s="4"/>
      <c r="G59" s="4"/>
      <c r="H59" s="4"/>
      <c r="I59" s="4"/>
      <c r="J59" s="4"/>
      <c r="K59" s="4"/>
      <c r="L59" s="4"/>
      <c r="M59" s="4"/>
      <c r="N59" s="4"/>
      <c r="O59" s="4"/>
      <c r="P59" s="4"/>
      <c r="Q59" s="4"/>
      <c r="R59" s="4"/>
      <c r="S59" s="4"/>
      <c r="T59" s="4"/>
      <c r="U59" s="4"/>
      <c r="V59" s="4"/>
      <c r="W59" s="4"/>
      <c r="X59" s="4"/>
    </row>
    <row r="60" spans="1:24" ht="15.75" customHeight="1">
      <c r="A60" s="141" t="s">
        <v>202</v>
      </c>
      <c r="B60" s="116" t="s">
        <v>0</v>
      </c>
      <c r="C60" s="117"/>
      <c r="D60" s="118">
        <f t="shared" si="3"/>
        <v>0</v>
      </c>
      <c r="E60" s="4"/>
      <c r="F60" s="4"/>
      <c r="G60" s="4"/>
      <c r="H60" s="4"/>
      <c r="I60" s="4"/>
      <c r="J60" s="4"/>
      <c r="K60" s="4"/>
      <c r="L60" s="4"/>
      <c r="M60" s="4"/>
      <c r="N60" s="4"/>
      <c r="O60" s="4"/>
      <c r="P60" s="4"/>
      <c r="Q60" s="4"/>
      <c r="R60" s="4"/>
      <c r="S60" s="4"/>
      <c r="T60" s="4"/>
      <c r="U60" s="4"/>
      <c r="V60" s="4"/>
      <c r="W60" s="4"/>
      <c r="X60" s="4"/>
    </row>
    <row r="61" spans="1:24" ht="15.75" customHeight="1">
      <c r="A61" s="332" t="s">
        <v>203</v>
      </c>
      <c r="B61" s="116"/>
      <c r="C61" s="117"/>
      <c r="D61" s="118">
        <f t="shared" si="3"/>
        <v>0</v>
      </c>
      <c r="E61" s="4"/>
      <c r="F61" s="4"/>
      <c r="G61" s="4"/>
      <c r="H61" s="4"/>
      <c r="I61" s="4"/>
      <c r="J61" s="4"/>
      <c r="K61" s="4"/>
      <c r="L61" s="4"/>
      <c r="M61" s="4"/>
      <c r="N61" s="4"/>
      <c r="O61" s="4"/>
      <c r="P61" s="4"/>
      <c r="Q61" s="4"/>
      <c r="R61" s="4"/>
      <c r="S61" s="4"/>
      <c r="T61" s="4"/>
      <c r="U61" s="4"/>
      <c r="V61" s="4"/>
      <c r="W61" s="4"/>
      <c r="X61" s="4"/>
    </row>
    <row r="62" spans="1:24" ht="15.75" customHeight="1">
      <c r="A62" s="141" t="s">
        <v>204</v>
      </c>
      <c r="B62" s="116"/>
      <c r="C62" s="117"/>
      <c r="D62" s="118">
        <f t="shared" si="3"/>
        <v>0</v>
      </c>
      <c r="E62" s="4"/>
      <c r="F62" s="4"/>
      <c r="G62" s="4"/>
      <c r="H62" s="4"/>
      <c r="I62" s="4"/>
      <c r="J62" s="4"/>
      <c r="K62" s="4"/>
      <c r="L62" s="4"/>
      <c r="M62" s="4"/>
      <c r="N62" s="4"/>
      <c r="O62" s="4"/>
      <c r="P62" s="4"/>
      <c r="Q62" s="4"/>
      <c r="R62" s="4"/>
      <c r="S62" s="4"/>
      <c r="T62" s="4"/>
      <c r="U62" s="4"/>
      <c r="V62" s="4"/>
      <c r="W62" s="4"/>
      <c r="X62" s="4"/>
    </row>
    <row r="63" spans="1:24" ht="15.75" customHeight="1">
      <c r="A63" s="141" t="s">
        <v>205</v>
      </c>
      <c r="B63" s="116">
        <v>46689</v>
      </c>
      <c r="C63" s="117"/>
      <c r="D63" s="118">
        <f t="shared" si="3"/>
        <v>46689</v>
      </c>
      <c r="E63" s="4"/>
      <c r="F63" s="4"/>
      <c r="G63" s="4"/>
      <c r="H63" s="4"/>
      <c r="I63" s="4"/>
      <c r="J63" s="4"/>
      <c r="K63" s="4"/>
      <c r="L63" s="4"/>
      <c r="M63" s="4"/>
      <c r="N63" s="4"/>
      <c r="O63" s="4"/>
      <c r="P63" s="4"/>
      <c r="Q63" s="4"/>
      <c r="R63" s="4"/>
      <c r="S63" s="4"/>
      <c r="T63" s="4"/>
      <c r="U63" s="4"/>
      <c r="V63" s="4"/>
      <c r="W63" s="4"/>
      <c r="X63" s="4"/>
    </row>
    <row r="64" spans="1:24" ht="15.75" customHeight="1">
      <c r="A64" s="141" t="s">
        <v>206</v>
      </c>
      <c r="B64" s="116">
        <v>2000</v>
      </c>
      <c r="C64" s="117"/>
      <c r="D64" s="118">
        <f t="shared" si="3"/>
        <v>2000</v>
      </c>
      <c r="E64" s="4"/>
      <c r="F64" s="4"/>
      <c r="G64" s="4"/>
      <c r="H64" s="4"/>
      <c r="I64" s="4"/>
      <c r="J64" s="4"/>
      <c r="K64" s="4"/>
      <c r="L64" s="4"/>
      <c r="M64" s="4"/>
      <c r="N64" s="4"/>
      <c r="O64" s="4"/>
      <c r="P64" s="4"/>
      <c r="Q64" s="4"/>
      <c r="R64" s="4"/>
      <c r="S64" s="4"/>
      <c r="T64" s="4"/>
      <c r="U64" s="4"/>
      <c r="V64" s="4"/>
      <c r="W64" s="4"/>
      <c r="X64" s="4"/>
    </row>
    <row r="65" spans="1:24" ht="15.75" customHeight="1">
      <c r="A65" s="141" t="s">
        <v>207</v>
      </c>
      <c r="B65" s="116">
        <v>4000</v>
      </c>
      <c r="C65" s="117"/>
      <c r="D65" s="118">
        <f t="shared" si="3"/>
        <v>4000</v>
      </c>
      <c r="E65" s="4"/>
      <c r="F65" s="4"/>
      <c r="G65" s="4"/>
      <c r="H65" s="4"/>
      <c r="I65" s="4"/>
      <c r="J65" s="4"/>
      <c r="K65" s="4"/>
      <c r="L65" s="4"/>
      <c r="M65" s="4"/>
      <c r="N65" s="4"/>
      <c r="O65" s="4"/>
      <c r="P65" s="4"/>
      <c r="Q65" s="4"/>
      <c r="R65" s="4"/>
      <c r="S65" s="4"/>
      <c r="T65" s="4"/>
      <c r="U65" s="4"/>
      <c r="V65" s="4"/>
      <c r="W65" s="4"/>
      <c r="X65" s="4"/>
    </row>
    <row r="66" spans="1:24" ht="27.75" customHeight="1">
      <c r="A66" s="141" t="s">
        <v>208</v>
      </c>
      <c r="B66" s="116">
        <v>15000</v>
      </c>
      <c r="C66" s="104"/>
      <c r="D66" s="118">
        <f t="shared" si="3"/>
        <v>15000</v>
      </c>
      <c r="E66" s="4"/>
      <c r="F66" s="4"/>
      <c r="G66" s="4"/>
      <c r="H66" s="4"/>
      <c r="I66" s="4"/>
      <c r="J66" s="4"/>
      <c r="K66" s="4"/>
      <c r="L66" s="4"/>
      <c r="M66" s="4"/>
      <c r="N66" s="4"/>
      <c r="O66" s="4"/>
      <c r="P66" s="4"/>
      <c r="Q66" s="4"/>
      <c r="R66" s="4"/>
      <c r="S66" s="4"/>
      <c r="T66" s="4"/>
      <c r="U66" s="4"/>
      <c r="V66" s="4"/>
      <c r="W66" s="4"/>
      <c r="X66" s="4"/>
    </row>
    <row r="67" spans="1:24" ht="15.75" customHeight="1">
      <c r="A67" s="141" t="s">
        <v>209</v>
      </c>
      <c r="B67" s="116"/>
      <c r="C67" s="117"/>
      <c r="D67" s="118">
        <f t="shared" si="3"/>
        <v>0</v>
      </c>
      <c r="E67" s="4"/>
      <c r="F67" s="4"/>
      <c r="G67" s="4"/>
      <c r="H67" s="4"/>
      <c r="I67" s="4"/>
      <c r="J67" s="4"/>
      <c r="K67" s="4"/>
      <c r="L67" s="4"/>
      <c r="M67" s="4"/>
      <c r="N67" s="4"/>
      <c r="O67" s="4"/>
      <c r="P67" s="4"/>
      <c r="Q67" s="4"/>
      <c r="R67" s="4"/>
      <c r="S67" s="4"/>
      <c r="T67" s="4"/>
      <c r="U67" s="4"/>
      <c r="V67" s="4"/>
      <c r="W67" s="4"/>
      <c r="X67" s="4"/>
    </row>
    <row r="68" spans="1:24" ht="25.5" customHeight="1">
      <c r="A68" s="141" t="s">
        <v>210</v>
      </c>
      <c r="B68" s="127">
        <v>75000</v>
      </c>
      <c r="C68" s="117"/>
      <c r="D68" s="118">
        <f t="shared" si="3"/>
        <v>75000</v>
      </c>
      <c r="E68" s="4"/>
      <c r="F68" s="4"/>
      <c r="G68" s="4"/>
      <c r="H68" s="4"/>
      <c r="I68" s="4"/>
      <c r="J68" s="4"/>
      <c r="K68" s="4"/>
      <c r="L68" s="4"/>
      <c r="M68" s="4"/>
      <c r="N68" s="4"/>
      <c r="O68" s="4"/>
      <c r="P68" s="4"/>
      <c r="Q68" s="4"/>
      <c r="R68" s="4"/>
      <c r="S68" s="4"/>
      <c r="T68" s="4"/>
      <c r="U68" s="4"/>
      <c r="V68" s="4"/>
      <c r="W68" s="4"/>
      <c r="X68" s="4"/>
    </row>
    <row r="69" spans="1:24" ht="15.75" customHeight="1">
      <c r="A69" s="141" t="s">
        <v>211</v>
      </c>
      <c r="B69" s="116">
        <v>30000</v>
      </c>
      <c r="C69" s="117"/>
      <c r="D69" s="118">
        <f t="shared" si="3"/>
        <v>30000</v>
      </c>
      <c r="E69" s="4"/>
      <c r="F69" s="4"/>
      <c r="G69" s="4"/>
      <c r="H69" s="4"/>
      <c r="I69" s="4"/>
      <c r="J69" s="4"/>
      <c r="K69" s="4"/>
      <c r="L69" s="4"/>
      <c r="M69" s="4"/>
      <c r="N69" s="4"/>
      <c r="O69" s="4"/>
      <c r="P69" s="4"/>
      <c r="Q69" s="4"/>
      <c r="R69" s="4"/>
      <c r="S69" s="4"/>
      <c r="T69" s="4"/>
      <c r="U69" s="4"/>
      <c r="V69" s="4"/>
      <c r="W69" s="4"/>
      <c r="X69" s="4"/>
    </row>
    <row r="70" spans="1:24" ht="15.75" customHeight="1">
      <c r="A70" s="141" t="s">
        <v>212</v>
      </c>
      <c r="B70" s="116"/>
      <c r="C70" s="117"/>
      <c r="D70" s="118">
        <f t="shared" si="3"/>
        <v>0</v>
      </c>
      <c r="E70" s="4"/>
      <c r="F70" s="4"/>
      <c r="G70" s="4"/>
      <c r="H70" s="4"/>
      <c r="I70" s="4"/>
      <c r="J70" s="4"/>
      <c r="K70" s="4"/>
      <c r="L70" s="4"/>
      <c r="M70" s="4"/>
      <c r="N70" s="4"/>
      <c r="O70" s="4"/>
      <c r="P70" s="4"/>
      <c r="Q70" s="4"/>
      <c r="R70" s="4"/>
      <c r="S70" s="4"/>
      <c r="T70" s="4"/>
      <c r="U70" s="4"/>
      <c r="V70" s="4"/>
      <c r="W70" s="4"/>
      <c r="X70" s="4"/>
    </row>
    <row r="71" spans="1:24" ht="15.75" customHeight="1">
      <c r="A71" s="141" t="s">
        <v>213</v>
      </c>
      <c r="B71" s="127">
        <v>1500</v>
      </c>
      <c r="C71" s="117"/>
      <c r="D71" s="118">
        <f t="shared" si="3"/>
        <v>1500</v>
      </c>
      <c r="E71" s="4"/>
      <c r="F71" s="4"/>
      <c r="G71" s="4"/>
      <c r="H71" s="4"/>
      <c r="I71" s="4"/>
      <c r="J71" s="4"/>
      <c r="K71" s="4"/>
      <c r="L71" s="4"/>
      <c r="M71" s="4"/>
      <c r="N71" s="4"/>
      <c r="O71" s="4"/>
      <c r="P71" s="4"/>
      <c r="Q71" s="4"/>
      <c r="R71" s="4"/>
      <c r="S71" s="4"/>
      <c r="T71" s="4"/>
      <c r="U71" s="4"/>
      <c r="V71" s="4"/>
      <c r="W71" s="4"/>
      <c r="X71" s="4"/>
    </row>
    <row r="72" spans="1:24" ht="15.75" customHeight="1">
      <c r="A72" s="141" t="s">
        <v>214</v>
      </c>
      <c r="B72" s="127"/>
      <c r="C72" s="117"/>
      <c r="D72" s="118">
        <f t="shared" si="3"/>
        <v>0</v>
      </c>
      <c r="E72" s="4"/>
      <c r="F72" s="4"/>
      <c r="G72" s="4"/>
      <c r="H72" s="4"/>
      <c r="I72" s="4"/>
      <c r="J72" s="4"/>
      <c r="K72" s="4"/>
      <c r="L72" s="4"/>
      <c r="M72" s="4"/>
      <c r="N72" s="4"/>
      <c r="O72" s="4"/>
      <c r="P72" s="4"/>
      <c r="Q72" s="4"/>
      <c r="R72" s="4"/>
      <c r="S72" s="4"/>
      <c r="T72" s="4"/>
      <c r="U72" s="4"/>
      <c r="V72" s="4"/>
      <c r="W72" s="4"/>
      <c r="X72" s="4"/>
    </row>
    <row r="73" spans="1:24" ht="15.75" customHeight="1">
      <c r="A73" s="141" t="s">
        <v>215</v>
      </c>
      <c r="B73" s="116"/>
      <c r="C73" s="117"/>
      <c r="D73" s="118">
        <f t="shared" si="3"/>
        <v>0</v>
      </c>
      <c r="E73" s="4"/>
      <c r="F73" s="4"/>
      <c r="G73" s="4"/>
      <c r="H73" s="4"/>
      <c r="I73" s="4"/>
      <c r="J73" s="4"/>
      <c r="K73" s="4"/>
      <c r="L73" s="4"/>
      <c r="M73" s="4"/>
      <c r="N73" s="4"/>
      <c r="O73" s="4"/>
      <c r="P73" s="4"/>
      <c r="Q73" s="4"/>
      <c r="R73" s="4"/>
      <c r="S73" s="4"/>
      <c r="T73" s="4"/>
      <c r="U73" s="4"/>
      <c r="V73" s="4"/>
      <c r="W73" s="4"/>
      <c r="X73" s="4"/>
    </row>
    <row r="74" spans="1:24" ht="15.75" customHeight="1">
      <c r="A74" s="141" t="s">
        <v>216</v>
      </c>
      <c r="B74" s="333"/>
      <c r="C74" s="334"/>
      <c r="D74" s="118">
        <f t="shared" si="3"/>
        <v>0</v>
      </c>
      <c r="E74" s="4"/>
      <c r="F74" s="4"/>
      <c r="G74" s="4"/>
      <c r="H74" s="4"/>
      <c r="I74" s="4"/>
      <c r="J74" s="4"/>
      <c r="K74" s="4"/>
      <c r="L74" s="4"/>
      <c r="M74" s="4"/>
      <c r="N74" s="4"/>
      <c r="O74" s="4"/>
      <c r="P74" s="4"/>
      <c r="Q74" s="4"/>
      <c r="R74" s="4"/>
      <c r="S74" s="4"/>
      <c r="T74" s="4"/>
      <c r="U74" s="4"/>
      <c r="V74" s="4"/>
      <c r="W74" s="4"/>
      <c r="X74" s="4"/>
    </row>
    <row r="75" spans="1:24" ht="15.75" customHeight="1">
      <c r="A75" s="130" t="s">
        <v>217</v>
      </c>
      <c r="B75" s="123">
        <f t="shared" ref="B75:D75" si="4">SUM(B33:B74)</f>
        <v>284888.625</v>
      </c>
      <c r="C75" s="123">
        <f t="shared" si="4"/>
        <v>0</v>
      </c>
      <c r="D75" s="123">
        <f t="shared" si="4"/>
        <v>284888.625</v>
      </c>
      <c r="E75" s="4"/>
      <c r="F75" s="4"/>
      <c r="G75" s="4"/>
      <c r="H75" s="4"/>
      <c r="I75" s="4"/>
      <c r="J75" s="4"/>
      <c r="K75" s="4"/>
      <c r="L75" s="4"/>
      <c r="M75" s="4"/>
      <c r="N75" s="4"/>
      <c r="O75" s="4"/>
      <c r="P75" s="4"/>
      <c r="Q75" s="4"/>
      <c r="R75" s="4"/>
      <c r="S75" s="4"/>
      <c r="T75" s="4"/>
      <c r="U75" s="4"/>
      <c r="V75" s="4"/>
      <c r="W75" s="4"/>
      <c r="X75" s="4"/>
    </row>
    <row r="76" spans="1:24" ht="15.75" customHeight="1">
      <c r="A76" s="335"/>
      <c r="B76" s="329"/>
      <c r="C76" s="329"/>
      <c r="D76" s="330"/>
      <c r="E76" s="4"/>
      <c r="F76" s="4"/>
      <c r="G76" s="4"/>
      <c r="H76" s="4"/>
      <c r="I76" s="4"/>
      <c r="J76" s="4"/>
      <c r="K76" s="4"/>
      <c r="L76" s="4"/>
      <c r="M76" s="4"/>
      <c r="N76" s="4"/>
      <c r="O76" s="4"/>
      <c r="P76" s="4"/>
      <c r="Q76" s="4"/>
      <c r="R76" s="4"/>
      <c r="S76" s="4"/>
      <c r="T76" s="4"/>
      <c r="U76" s="4"/>
      <c r="V76" s="4"/>
      <c r="W76" s="4"/>
      <c r="X76" s="4"/>
    </row>
    <row r="77" spans="1:24" ht="15.75" customHeight="1">
      <c r="A77" s="130" t="s">
        <v>218</v>
      </c>
      <c r="B77" s="123">
        <f t="shared" ref="B77:D77" si="5">B30-B75</f>
        <v>10111.375</v>
      </c>
      <c r="C77" s="123">
        <f t="shared" si="5"/>
        <v>0</v>
      </c>
      <c r="D77" s="123">
        <f t="shared" si="5"/>
        <v>10111.375</v>
      </c>
      <c r="E77" s="4"/>
      <c r="F77" s="4"/>
      <c r="G77" s="4"/>
      <c r="H77" s="4"/>
      <c r="I77" s="4"/>
      <c r="J77" s="4"/>
      <c r="K77" s="4"/>
      <c r="L77" s="4"/>
      <c r="M77" s="4"/>
      <c r="N77" s="4"/>
      <c r="O77" s="4"/>
      <c r="P77" s="4"/>
      <c r="Q77" s="4"/>
      <c r="R77" s="4"/>
      <c r="S77" s="4"/>
      <c r="T77" s="4"/>
      <c r="U77" s="4"/>
      <c r="V77" s="4"/>
      <c r="W77" s="4"/>
      <c r="X77" s="4"/>
    </row>
    <row r="78" spans="1:24" ht="15.75" customHeight="1">
      <c r="A78" s="335"/>
      <c r="B78" s="329"/>
      <c r="C78" s="329"/>
      <c r="D78" s="330"/>
      <c r="E78" s="4"/>
      <c r="F78" s="4"/>
      <c r="G78" s="4"/>
      <c r="H78" s="4"/>
      <c r="I78" s="4"/>
      <c r="J78" s="4"/>
      <c r="K78" s="4"/>
      <c r="L78" s="4"/>
      <c r="M78" s="4"/>
      <c r="N78" s="4"/>
      <c r="O78" s="4"/>
      <c r="P78" s="4"/>
      <c r="Q78" s="4"/>
      <c r="R78" s="4"/>
      <c r="S78" s="4"/>
      <c r="T78" s="4"/>
      <c r="U78" s="4"/>
      <c r="V78" s="4"/>
      <c r="W78" s="4"/>
      <c r="X78" s="4"/>
    </row>
    <row r="79" spans="1:24" ht="15.75" customHeight="1">
      <c r="A79" s="336" t="s">
        <v>219</v>
      </c>
      <c r="B79" s="329"/>
      <c r="C79" s="329"/>
      <c r="D79" s="118">
        <f>SUM(B79:C79)</f>
        <v>0</v>
      </c>
      <c r="E79" s="4"/>
      <c r="F79" s="4"/>
      <c r="G79" s="4"/>
      <c r="H79" s="4"/>
      <c r="I79" s="4"/>
      <c r="J79" s="4"/>
      <c r="K79" s="4"/>
      <c r="L79" s="4"/>
      <c r="M79" s="4"/>
      <c r="N79" s="4"/>
      <c r="O79" s="4"/>
      <c r="P79" s="4"/>
      <c r="Q79" s="4"/>
      <c r="R79" s="4"/>
      <c r="S79" s="4"/>
      <c r="T79" s="4"/>
      <c r="U79" s="4"/>
      <c r="V79" s="4"/>
      <c r="W79" s="4"/>
      <c r="X79" s="4"/>
    </row>
    <row r="80" spans="1:24" ht="15.75" customHeight="1">
      <c r="A80" s="327"/>
      <c r="B80" s="329"/>
      <c r="C80" s="329"/>
      <c r="D80" s="330"/>
      <c r="E80" s="4"/>
      <c r="F80" s="4"/>
      <c r="G80" s="4"/>
      <c r="H80" s="4"/>
      <c r="I80" s="4"/>
      <c r="J80" s="4"/>
      <c r="K80" s="4"/>
      <c r="L80" s="4"/>
      <c r="M80" s="4"/>
      <c r="N80" s="4"/>
      <c r="O80" s="4"/>
      <c r="P80" s="4"/>
      <c r="Q80" s="4"/>
      <c r="R80" s="4"/>
      <c r="S80" s="4"/>
      <c r="T80" s="4"/>
      <c r="U80" s="4"/>
      <c r="V80" s="4"/>
      <c r="W80" s="4"/>
      <c r="X80" s="4"/>
    </row>
    <row r="81" spans="1:24" ht="15.75" hidden="1" customHeight="1">
      <c r="A81" s="335"/>
      <c r="B81" s="337"/>
      <c r="C81" s="337"/>
      <c r="D81" s="330"/>
      <c r="E81" s="4"/>
      <c r="F81" s="4"/>
      <c r="G81" s="4"/>
      <c r="H81" s="4"/>
      <c r="I81" s="4"/>
      <c r="J81" s="4"/>
      <c r="K81" s="4"/>
      <c r="L81" s="4"/>
      <c r="M81" s="4"/>
      <c r="N81" s="4"/>
      <c r="O81" s="4"/>
      <c r="P81" s="4"/>
      <c r="Q81" s="4"/>
      <c r="R81" s="4"/>
      <c r="S81" s="4"/>
      <c r="T81" s="4"/>
      <c r="U81" s="4"/>
      <c r="V81" s="4"/>
      <c r="W81" s="4"/>
      <c r="X81" s="4"/>
    </row>
    <row r="82" spans="1:24" ht="15.75" customHeight="1">
      <c r="A82" s="122" t="s">
        <v>220</v>
      </c>
      <c r="B82" s="131">
        <f t="shared" ref="B82:D82" si="6">B77+B79</f>
        <v>10111.375</v>
      </c>
      <c r="C82" s="131">
        <f t="shared" si="6"/>
        <v>0</v>
      </c>
      <c r="D82" s="131">
        <f t="shared" si="6"/>
        <v>10111.375</v>
      </c>
      <c r="E82" s="4"/>
      <c r="F82" s="4"/>
      <c r="G82" s="4"/>
      <c r="H82" s="4"/>
      <c r="I82" s="4"/>
      <c r="J82" s="4"/>
      <c r="K82" s="4"/>
      <c r="L82" s="4"/>
      <c r="M82" s="4"/>
      <c r="N82" s="4"/>
      <c r="O82" s="4"/>
      <c r="P82" s="4"/>
      <c r="Q82" s="4"/>
      <c r="R82" s="4"/>
      <c r="S82" s="4"/>
      <c r="T82" s="4"/>
      <c r="U82" s="4"/>
      <c r="V82" s="4"/>
      <c r="W82" s="4"/>
      <c r="X82" s="4"/>
    </row>
    <row r="83" spans="1:24" ht="15.75" customHeight="1">
      <c r="A83" s="264"/>
      <c r="B83" s="258"/>
      <c r="C83" s="258"/>
      <c r="D83" s="27"/>
      <c r="E83" s="4"/>
      <c r="F83" s="4"/>
      <c r="G83" s="4"/>
      <c r="H83" s="4"/>
      <c r="I83" s="4"/>
      <c r="J83" s="4"/>
      <c r="K83" s="4"/>
      <c r="L83" s="4"/>
      <c r="M83" s="4"/>
      <c r="N83" s="4"/>
      <c r="O83" s="4"/>
      <c r="P83" s="4"/>
      <c r="Q83" s="4"/>
      <c r="R83" s="4"/>
      <c r="S83" s="4"/>
      <c r="T83" s="4"/>
      <c r="U83" s="4"/>
      <c r="V83" s="4"/>
      <c r="W83" s="4"/>
      <c r="X83" s="4"/>
    </row>
    <row r="84" spans="1:24" ht="15.75" customHeight="1">
      <c r="A84" s="264" t="s">
        <v>221</v>
      </c>
      <c r="B84" s="258"/>
      <c r="C84" s="258"/>
      <c r="D84" s="132">
        <v>0</v>
      </c>
      <c r="E84" s="4"/>
      <c r="F84" s="4"/>
      <c r="G84" s="4"/>
      <c r="H84" s="4"/>
      <c r="I84" s="4"/>
      <c r="J84" s="4"/>
      <c r="K84" s="4"/>
      <c r="L84" s="4"/>
      <c r="M84" s="4"/>
      <c r="N84" s="4"/>
      <c r="O84" s="4"/>
      <c r="P84" s="4"/>
      <c r="Q84" s="4"/>
      <c r="R84" s="4"/>
      <c r="S84" s="4"/>
      <c r="T84" s="4"/>
      <c r="U84" s="4"/>
      <c r="V84" s="4"/>
      <c r="W84" s="4"/>
      <c r="X84" s="4"/>
    </row>
    <row r="85" spans="1:24" ht="15.75" customHeight="1">
      <c r="A85" s="264"/>
      <c r="B85" s="258"/>
      <c r="C85" s="258"/>
      <c r="D85" s="132"/>
      <c r="E85" s="4"/>
      <c r="F85" s="4"/>
      <c r="G85" s="4"/>
      <c r="H85" s="4"/>
      <c r="I85" s="4"/>
      <c r="J85" s="4"/>
      <c r="K85" s="4"/>
      <c r="L85" s="4"/>
      <c r="M85" s="4"/>
      <c r="N85" s="4"/>
      <c r="O85" s="4"/>
      <c r="P85" s="4"/>
      <c r="Q85" s="4"/>
      <c r="R85" s="4"/>
      <c r="S85" s="4"/>
      <c r="T85" s="4"/>
      <c r="U85" s="4"/>
      <c r="V85" s="4"/>
      <c r="W85" s="4"/>
      <c r="X85" s="4"/>
    </row>
    <row r="86" spans="1:24" ht="15.75" customHeight="1">
      <c r="A86" s="264" t="s">
        <v>222</v>
      </c>
      <c r="B86" s="258"/>
      <c r="C86" s="258"/>
      <c r="D86" s="132">
        <f>D84+D82</f>
        <v>10111.375</v>
      </c>
      <c r="E86" s="4"/>
      <c r="F86" s="4"/>
      <c r="G86" s="4"/>
      <c r="H86" s="4"/>
      <c r="I86" s="4"/>
      <c r="J86" s="4"/>
      <c r="K86" s="4"/>
      <c r="L86" s="4"/>
      <c r="M86" s="4"/>
      <c r="N86" s="4"/>
      <c r="O86" s="4"/>
      <c r="P86" s="4"/>
      <c r="Q86" s="4"/>
      <c r="R86" s="4"/>
      <c r="S86" s="4"/>
      <c r="T86" s="4"/>
      <c r="U86" s="4"/>
      <c r="V86" s="4"/>
      <c r="W86" s="4"/>
      <c r="X86" s="4"/>
    </row>
    <row r="87" spans="1:24" ht="15.75" customHeight="1">
      <c r="A87" s="338" t="s">
        <v>223</v>
      </c>
      <c r="B87" s="258"/>
      <c r="C87" s="258"/>
      <c r="D87" s="133">
        <f>B95</f>
        <v>8546.6587500000005</v>
      </c>
      <c r="E87" s="4"/>
      <c r="F87" s="4"/>
      <c r="G87" s="4"/>
      <c r="H87" s="4"/>
      <c r="I87" s="4"/>
      <c r="J87" s="4"/>
      <c r="K87" s="4"/>
      <c r="L87" s="4"/>
      <c r="M87" s="4"/>
      <c r="N87" s="4"/>
      <c r="O87" s="4"/>
      <c r="P87" s="4"/>
      <c r="Q87" s="4"/>
      <c r="R87" s="4"/>
      <c r="S87" s="4"/>
      <c r="T87" s="4"/>
      <c r="U87" s="4"/>
      <c r="V87" s="4"/>
      <c r="W87" s="4"/>
      <c r="X87" s="4"/>
    </row>
    <row r="88" spans="1:24" ht="15.75" customHeight="1">
      <c r="A88" s="338" t="s">
        <v>224</v>
      </c>
      <c r="B88" s="258"/>
      <c r="C88" s="258"/>
      <c r="D88" s="133">
        <f>D86-D87</f>
        <v>1564.7162499999995</v>
      </c>
      <c r="E88" s="4"/>
      <c r="F88" s="4"/>
      <c r="G88" s="4"/>
      <c r="H88" s="4"/>
      <c r="I88" s="4"/>
      <c r="J88" s="4"/>
      <c r="K88" s="4"/>
      <c r="L88" s="4"/>
      <c r="M88" s="4"/>
      <c r="N88" s="4"/>
      <c r="O88" s="4"/>
      <c r="P88" s="4"/>
      <c r="Q88" s="4"/>
      <c r="R88" s="4"/>
      <c r="S88" s="4"/>
      <c r="T88" s="4"/>
      <c r="U88" s="4"/>
      <c r="V88" s="4"/>
      <c r="W88" s="4"/>
      <c r="X88" s="4"/>
    </row>
    <row r="89" spans="1:24" ht="12.75" customHeight="1">
      <c r="A89" s="338" t="s">
        <v>225</v>
      </c>
      <c r="B89" s="258"/>
      <c r="C89" s="258"/>
      <c r="D89" s="134">
        <f>D88/D75</f>
        <v>5.4923788199686789E-3</v>
      </c>
      <c r="E89" s="4"/>
      <c r="F89" s="4"/>
      <c r="G89" s="4"/>
      <c r="H89" s="4"/>
      <c r="I89" s="4"/>
      <c r="J89" s="4"/>
      <c r="K89" s="4"/>
      <c r="L89" s="4"/>
      <c r="M89" s="4"/>
      <c r="N89" s="4"/>
      <c r="O89" s="4"/>
      <c r="P89" s="4"/>
      <c r="Q89" s="4"/>
      <c r="R89" s="4"/>
      <c r="S89" s="4"/>
      <c r="T89" s="4"/>
      <c r="U89" s="4"/>
      <c r="V89" s="4"/>
      <c r="W89" s="4"/>
      <c r="X89" s="4"/>
    </row>
    <row r="90" spans="1:24" ht="12.75" customHeight="1">
      <c r="A90" s="135"/>
      <c r="B90" s="259"/>
      <c r="C90" s="259"/>
      <c r="D90" s="57"/>
      <c r="E90" s="4"/>
      <c r="F90" s="4"/>
      <c r="G90" s="4"/>
      <c r="H90" s="4"/>
      <c r="I90" s="4"/>
      <c r="J90" s="4"/>
      <c r="K90" s="4"/>
      <c r="L90" s="4"/>
      <c r="M90" s="4"/>
      <c r="N90" s="4"/>
      <c r="O90" s="4"/>
      <c r="P90" s="4"/>
      <c r="Q90" s="4"/>
      <c r="R90" s="4"/>
      <c r="S90" s="4"/>
      <c r="T90" s="4"/>
      <c r="U90" s="4"/>
      <c r="V90" s="4"/>
      <c r="W90" s="4"/>
      <c r="X90" s="4"/>
    </row>
    <row r="91" spans="1:24" ht="15.75" customHeight="1"/>
    <row r="92" spans="1:24" ht="15.75" customHeight="1">
      <c r="A92" s="339" t="s">
        <v>226</v>
      </c>
      <c r="B92" s="136">
        <v>0</v>
      </c>
    </row>
    <row r="93" spans="1:24" ht="15.75" customHeight="1">
      <c r="A93" s="339" t="s">
        <v>227</v>
      </c>
      <c r="B93" s="136">
        <f>B75*0.03</f>
        <v>8546.6587500000005</v>
      </c>
    </row>
    <row r="94" spans="1:24" ht="15.75" customHeight="1">
      <c r="A94" s="339" t="s">
        <v>228</v>
      </c>
      <c r="B94" s="136">
        <v>0</v>
      </c>
    </row>
    <row r="95" spans="1:24" ht="15.75" customHeight="1">
      <c r="A95" s="339" t="s">
        <v>229</v>
      </c>
      <c r="B95" s="136">
        <f>SUM(B92:B94)</f>
        <v>8546.6587500000005</v>
      </c>
    </row>
    <row r="96" spans="1:24"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B3:D3"/>
  </mergeCells>
  <printOptions horizontalCentered="1"/>
  <pageMargins left="0.25" right="0.25" top="0.31884720951509604" bottom="0.2644098810612992"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1000"/>
  <sheetViews>
    <sheetView workbookViewId="0"/>
  </sheetViews>
  <sheetFormatPr defaultColWidth="12.5703125" defaultRowHeight="15" customHeight="1"/>
  <cols>
    <col min="1" max="1" width="39.42578125" customWidth="1"/>
    <col min="2" max="5" width="15.5703125" customWidth="1"/>
    <col min="6" max="12" width="11.42578125" customWidth="1"/>
    <col min="13" max="25" width="8.5703125" customWidth="1"/>
  </cols>
  <sheetData>
    <row r="1" spans="1:25" ht="12.75" customHeight="1">
      <c r="A1" s="109">
        <f>'Page 3-Assumptions'!A1</f>
        <v>0</v>
      </c>
      <c r="B1" s="110"/>
      <c r="C1" s="110"/>
      <c r="D1" s="110"/>
      <c r="E1" s="111"/>
      <c r="F1" s="137" t="s">
        <v>230</v>
      </c>
      <c r="G1" s="4"/>
      <c r="H1" s="4"/>
      <c r="I1" s="4"/>
      <c r="J1" s="4"/>
      <c r="K1" s="4"/>
      <c r="L1" s="4"/>
      <c r="M1" s="4"/>
      <c r="N1" s="4"/>
      <c r="O1" s="4"/>
      <c r="P1" s="4"/>
      <c r="Q1" s="4"/>
      <c r="R1" s="4"/>
      <c r="S1" s="4"/>
      <c r="T1" s="4"/>
      <c r="U1" s="4"/>
      <c r="V1" s="4"/>
      <c r="W1" s="4"/>
      <c r="X1" s="4"/>
      <c r="Y1" s="4"/>
    </row>
    <row r="2" spans="1:25" ht="18.600000000000001">
      <c r="A2" s="321" t="str">
        <f>B3</f>
        <v>YEAR 1</v>
      </c>
      <c r="B2" s="258"/>
      <c r="C2" s="258"/>
      <c r="D2" s="258"/>
      <c r="E2" s="27"/>
      <c r="F2" s="137"/>
      <c r="G2" s="4"/>
      <c r="H2" s="4"/>
      <c r="I2" s="4"/>
      <c r="J2" s="4"/>
      <c r="K2" s="4"/>
      <c r="L2" s="4"/>
      <c r="M2" s="4"/>
      <c r="N2" s="4"/>
      <c r="O2" s="4"/>
      <c r="P2" s="4"/>
      <c r="Q2" s="4"/>
      <c r="R2" s="4"/>
      <c r="S2" s="4"/>
      <c r="T2" s="4"/>
      <c r="U2" s="4"/>
      <c r="V2" s="4"/>
      <c r="W2" s="4"/>
      <c r="X2" s="4"/>
      <c r="Y2" s="4"/>
    </row>
    <row r="3" spans="1:25" ht="12.75" customHeight="1">
      <c r="A3" s="322"/>
      <c r="B3" s="323" t="str">
        <f>'Page 10-6 yr Budget-detail'!C4</f>
        <v>YEAR 1</v>
      </c>
      <c r="C3" s="252"/>
      <c r="D3" s="252"/>
      <c r="E3" s="253"/>
      <c r="F3" s="138"/>
      <c r="G3" s="112"/>
      <c r="H3" s="112"/>
      <c r="I3" s="112"/>
      <c r="J3" s="112"/>
      <c r="K3" s="112"/>
      <c r="L3" s="112"/>
      <c r="M3" s="112"/>
      <c r="N3" s="112"/>
      <c r="O3" s="112"/>
      <c r="P3" s="112"/>
      <c r="Q3" s="112"/>
      <c r="R3" s="112"/>
      <c r="S3" s="112"/>
      <c r="T3" s="112"/>
      <c r="U3" s="112"/>
      <c r="V3" s="112"/>
      <c r="W3" s="112"/>
      <c r="X3" s="112"/>
      <c r="Y3" s="112"/>
    </row>
    <row r="4" spans="1:25" ht="12.75" customHeight="1">
      <c r="A4" s="256"/>
      <c r="B4" s="113" t="s">
        <v>153</v>
      </c>
      <c r="C4" s="113" t="s">
        <v>154</v>
      </c>
      <c r="D4" s="113" t="s">
        <v>231</v>
      </c>
      <c r="E4" s="113" t="s">
        <v>148</v>
      </c>
      <c r="F4" s="112"/>
      <c r="G4" s="112"/>
      <c r="H4" s="112"/>
      <c r="I4" s="112"/>
      <c r="J4" s="112"/>
      <c r="K4" s="112"/>
      <c r="L4" s="112"/>
      <c r="M4" s="112"/>
      <c r="N4" s="112"/>
      <c r="O4" s="112"/>
      <c r="P4" s="112"/>
      <c r="Q4" s="112"/>
      <c r="R4" s="112"/>
      <c r="S4" s="112"/>
      <c r="T4" s="112"/>
      <c r="U4" s="112"/>
      <c r="V4" s="112"/>
      <c r="W4" s="112"/>
      <c r="X4" s="112"/>
      <c r="Y4" s="112"/>
    </row>
    <row r="5" spans="1:25" ht="12.75" customHeight="1">
      <c r="A5" s="324" t="s">
        <v>155</v>
      </c>
      <c r="B5" s="325"/>
      <c r="C5" s="325"/>
      <c r="D5" s="325"/>
      <c r="E5" s="139">
        <f>'Page 1-Enrollment Plan'!B21</f>
        <v>72</v>
      </c>
      <c r="F5" s="112"/>
      <c r="G5" s="112"/>
      <c r="H5" s="112"/>
      <c r="I5" s="112"/>
      <c r="J5" s="112"/>
      <c r="K5" s="112"/>
      <c r="L5" s="112"/>
      <c r="M5" s="112"/>
      <c r="N5" s="112"/>
      <c r="O5" s="112"/>
      <c r="P5" s="112"/>
      <c r="Q5" s="112"/>
      <c r="R5" s="112"/>
      <c r="S5" s="112"/>
      <c r="T5" s="112"/>
      <c r="U5" s="112"/>
      <c r="V5" s="112"/>
      <c r="W5" s="112"/>
      <c r="X5" s="112"/>
      <c r="Y5" s="112"/>
    </row>
    <row r="6" spans="1:25" ht="12.75" customHeight="1">
      <c r="A6" s="324" t="s">
        <v>156</v>
      </c>
      <c r="B6" s="325"/>
      <c r="C6" s="325"/>
      <c r="D6" s="325"/>
      <c r="E6" s="140">
        <f>'Page 1-Enrollment Plan'!B23</f>
        <v>60</v>
      </c>
      <c r="F6" s="112"/>
      <c r="G6" s="112"/>
      <c r="H6" s="112"/>
      <c r="I6" s="112"/>
      <c r="J6" s="112"/>
      <c r="K6" s="112"/>
      <c r="L6" s="112"/>
      <c r="M6" s="112"/>
      <c r="N6" s="112"/>
      <c r="O6" s="112"/>
      <c r="P6" s="112"/>
      <c r="Q6" s="112"/>
      <c r="R6" s="112"/>
      <c r="S6" s="112"/>
      <c r="T6" s="112"/>
      <c r="U6" s="112"/>
      <c r="V6" s="112"/>
      <c r="W6" s="112"/>
      <c r="X6" s="112"/>
      <c r="Y6" s="112"/>
    </row>
    <row r="7" spans="1:25" ht="12.75" customHeight="1">
      <c r="A7" s="256" t="s">
        <v>53</v>
      </c>
      <c r="B7" s="325"/>
      <c r="C7" s="325"/>
      <c r="D7" s="325"/>
      <c r="E7" s="326"/>
      <c r="F7" s="112"/>
      <c r="G7" s="112"/>
      <c r="H7" s="112"/>
      <c r="I7" s="112"/>
      <c r="J7" s="112"/>
      <c r="K7" s="112"/>
      <c r="L7" s="112"/>
      <c r="M7" s="112"/>
      <c r="N7" s="112"/>
      <c r="O7" s="112"/>
      <c r="P7" s="112"/>
      <c r="Q7" s="112"/>
      <c r="R7" s="112"/>
      <c r="S7" s="112"/>
      <c r="T7" s="112"/>
      <c r="U7" s="112"/>
      <c r="V7" s="112"/>
      <c r="W7" s="112"/>
      <c r="X7" s="112"/>
      <c r="Y7" s="112"/>
    </row>
    <row r="8" spans="1:25" ht="42" customHeight="1">
      <c r="A8" s="141" t="s">
        <v>157</v>
      </c>
      <c r="B8" s="117"/>
      <c r="C8" s="117">
        <v>0</v>
      </c>
      <c r="D8" s="116">
        <v>0</v>
      </c>
      <c r="E8" s="118">
        <f t="shared" ref="E8:E29" si="0">SUM(B8:D8)</f>
        <v>0</v>
      </c>
      <c r="F8" s="4"/>
      <c r="G8" s="4"/>
      <c r="H8" s="4"/>
      <c r="I8" s="4"/>
      <c r="J8" s="4"/>
      <c r="K8" s="4"/>
      <c r="L8" s="4"/>
      <c r="M8" s="4"/>
      <c r="N8" s="4"/>
      <c r="O8" s="4"/>
      <c r="P8" s="4"/>
      <c r="Q8" s="4"/>
      <c r="R8" s="4"/>
      <c r="S8" s="4"/>
      <c r="T8" s="4"/>
      <c r="U8" s="4"/>
      <c r="V8" s="4"/>
      <c r="W8" s="4"/>
      <c r="X8" s="4"/>
      <c r="Y8" s="4"/>
    </row>
    <row r="9" spans="1:25" ht="23.25" customHeight="1">
      <c r="A9" s="141" t="s">
        <v>158</v>
      </c>
      <c r="B9" s="142">
        <v>63403.77</v>
      </c>
      <c r="C9" s="119">
        <v>0</v>
      </c>
      <c r="D9" s="119">
        <v>0</v>
      </c>
      <c r="E9" s="118">
        <f t="shared" si="0"/>
        <v>63403.77</v>
      </c>
      <c r="F9" s="4"/>
      <c r="G9" s="4"/>
      <c r="H9" s="4"/>
      <c r="I9" s="4"/>
      <c r="J9" s="4"/>
      <c r="K9" s="4"/>
      <c r="L9" s="4"/>
      <c r="M9" s="4"/>
      <c r="N9" s="4"/>
      <c r="O9" s="4"/>
      <c r="P9" s="4"/>
      <c r="Q9" s="4"/>
      <c r="R9" s="4"/>
      <c r="S9" s="4"/>
      <c r="T9" s="4"/>
      <c r="U9" s="4"/>
      <c r="V9" s="4"/>
      <c r="W9" s="4"/>
      <c r="X9" s="4"/>
      <c r="Y9" s="4"/>
    </row>
    <row r="10" spans="1:25" ht="12.75" customHeight="1">
      <c r="A10" s="141" t="s">
        <v>159</v>
      </c>
      <c r="B10" s="117">
        <v>0</v>
      </c>
      <c r="C10" s="116">
        <v>0</v>
      </c>
      <c r="D10" s="116">
        <v>0</v>
      </c>
      <c r="E10" s="118">
        <f t="shared" si="0"/>
        <v>0</v>
      </c>
      <c r="F10" s="4"/>
      <c r="G10" s="4"/>
      <c r="H10" s="4"/>
      <c r="I10" s="4"/>
      <c r="J10" s="4"/>
      <c r="K10" s="4"/>
      <c r="L10" s="4"/>
      <c r="M10" s="4"/>
      <c r="N10" s="4"/>
      <c r="O10" s="4"/>
      <c r="P10" s="4"/>
      <c r="Q10" s="4"/>
      <c r="R10" s="4"/>
      <c r="S10" s="4"/>
      <c r="T10" s="4"/>
      <c r="U10" s="4"/>
      <c r="V10" s="4"/>
      <c r="W10" s="4"/>
      <c r="X10" s="4"/>
      <c r="Y10" s="4"/>
    </row>
    <row r="11" spans="1:25" ht="32.25" customHeight="1">
      <c r="A11" s="141" t="s">
        <v>160</v>
      </c>
      <c r="B11" s="143"/>
      <c r="C11" s="116">
        <v>0</v>
      </c>
      <c r="D11" s="116">
        <v>0</v>
      </c>
      <c r="E11" s="118">
        <f t="shared" si="0"/>
        <v>0</v>
      </c>
      <c r="F11" s="4"/>
      <c r="G11" s="4"/>
      <c r="H11" s="4"/>
      <c r="I11" s="4"/>
      <c r="J11" s="4"/>
      <c r="K11" s="4"/>
      <c r="L11" s="4"/>
      <c r="M11" s="4"/>
      <c r="N11" s="4"/>
      <c r="O11" s="4"/>
      <c r="P11" s="4"/>
      <c r="Q11" s="4"/>
      <c r="R11" s="4"/>
      <c r="S11" s="4"/>
      <c r="T11" s="4"/>
      <c r="U11" s="4"/>
      <c r="V11" s="4"/>
      <c r="W11" s="4"/>
      <c r="X11" s="4"/>
      <c r="Y11" s="4"/>
    </row>
    <row r="12" spans="1:25" ht="12.75" customHeight="1">
      <c r="A12" s="141" t="s">
        <v>161</v>
      </c>
      <c r="B12" s="143">
        <f>1600*'Page 3-Assumptions'!B70</f>
        <v>38016</v>
      </c>
      <c r="C12" s="116">
        <v>0</v>
      </c>
      <c r="D12" s="116">
        <v>0</v>
      </c>
      <c r="E12" s="118">
        <f t="shared" si="0"/>
        <v>38016</v>
      </c>
      <c r="F12" s="4"/>
      <c r="G12" s="4"/>
      <c r="H12" s="4"/>
      <c r="I12" s="4"/>
      <c r="J12" s="4"/>
      <c r="K12" s="4"/>
      <c r="L12" s="4"/>
      <c r="M12" s="4"/>
      <c r="N12" s="4"/>
      <c r="O12" s="4"/>
      <c r="P12" s="4"/>
      <c r="Q12" s="4"/>
      <c r="R12" s="4"/>
      <c r="S12" s="4"/>
      <c r="T12" s="4"/>
      <c r="U12" s="4"/>
      <c r="V12" s="4"/>
      <c r="W12" s="4"/>
      <c r="X12" s="4"/>
      <c r="Y12" s="4"/>
    </row>
    <row r="13" spans="1:25" ht="12.75" customHeight="1">
      <c r="A13" s="141" t="s">
        <v>162</v>
      </c>
      <c r="B13" s="143">
        <f>2500*'Page 3-Assumptions'!B72</f>
        <v>90000</v>
      </c>
      <c r="C13" s="116">
        <v>0</v>
      </c>
      <c r="D13" s="116">
        <v>0</v>
      </c>
      <c r="E13" s="118">
        <f t="shared" si="0"/>
        <v>90000</v>
      </c>
      <c r="F13" s="4"/>
      <c r="G13" s="4"/>
      <c r="H13" s="4"/>
      <c r="I13" s="4"/>
      <c r="J13" s="4"/>
      <c r="K13" s="4"/>
      <c r="L13" s="4"/>
      <c r="M13" s="4"/>
      <c r="N13" s="4"/>
      <c r="O13" s="4"/>
      <c r="P13" s="4"/>
      <c r="Q13" s="4"/>
      <c r="R13" s="4"/>
      <c r="S13" s="4"/>
      <c r="T13" s="4"/>
      <c r="U13" s="4"/>
      <c r="V13" s="4"/>
      <c r="W13" s="4"/>
      <c r="X13" s="4"/>
      <c r="Y13" s="4"/>
    </row>
    <row r="14" spans="1:25" ht="12.75" customHeight="1">
      <c r="A14" s="327" t="s">
        <v>163</v>
      </c>
      <c r="B14" s="117">
        <v>0</v>
      </c>
      <c r="C14" s="116">
        <v>0</v>
      </c>
      <c r="D14" s="116">
        <v>0</v>
      </c>
      <c r="E14" s="118">
        <f t="shared" si="0"/>
        <v>0</v>
      </c>
      <c r="F14" s="4"/>
      <c r="G14" s="4"/>
      <c r="H14" s="4"/>
      <c r="I14" s="4"/>
      <c r="J14" s="4"/>
      <c r="K14" s="4"/>
      <c r="L14" s="4"/>
      <c r="M14" s="4"/>
      <c r="N14" s="4"/>
      <c r="O14" s="4"/>
      <c r="P14" s="4"/>
      <c r="Q14" s="4"/>
      <c r="R14" s="4"/>
      <c r="S14" s="4"/>
      <c r="T14" s="4"/>
      <c r="U14" s="4"/>
      <c r="V14" s="4"/>
      <c r="W14" s="4"/>
      <c r="X14" s="4"/>
      <c r="Y14" s="4"/>
    </row>
    <row r="15" spans="1:25" ht="12.75" customHeight="1">
      <c r="A15" s="327" t="s">
        <v>164</v>
      </c>
      <c r="B15" s="119">
        <f>E6*'Page 3-Assumptions'!C8</f>
        <v>18000</v>
      </c>
      <c r="C15" s="119">
        <v>0</v>
      </c>
      <c r="D15" s="119">
        <v>0</v>
      </c>
      <c r="E15" s="118">
        <f t="shared" si="0"/>
        <v>18000</v>
      </c>
      <c r="F15" s="4"/>
      <c r="G15" s="4"/>
      <c r="H15" s="4"/>
      <c r="I15" s="4"/>
      <c r="J15" s="4"/>
      <c r="K15" s="4"/>
      <c r="L15" s="4"/>
      <c r="M15" s="4"/>
      <c r="N15" s="4"/>
      <c r="O15" s="4"/>
      <c r="P15" s="4"/>
      <c r="Q15" s="4"/>
      <c r="R15" s="4"/>
      <c r="S15" s="4"/>
      <c r="T15" s="4"/>
      <c r="U15" s="4"/>
      <c r="V15" s="4"/>
      <c r="W15" s="4"/>
      <c r="X15" s="4"/>
      <c r="Y15" s="4"/>
    </row>
    <row r="16" spans="1:25" ht="12.75" customHeight="1">
      <c r="A16" s="327" t="s">
        <v>166</v>
      </c>
      <c r="B16" s="119">
        <f>'Page 3-Assumptions'!C9</f>
        <v>8624</v>
      </c>
      <c r="C16" s="119">
        <v>0</v>
      </c>
      <c r="D16" s="119">
        <v>0</v>
      </c>
      <c r="E16" s="118">
        <f t="shared" si="0"/>
        <v>8624</v>
      </c>
      <c r="F16" s="4"/>
      <c r="G16" s="4"/>
      <c r="H16" s="4"/>
      <c r="I16" s="4"/>
      <c r="J16" s="4"/>
      <c r="K16" s="4"/>
      <c r="L16" s="4"/>
      <c r="M16" s="4"/>
      <c r="N16" s="4"/>
      <c r="O16" s="4"/>
      <c r="P16" s="4"/>
      <c r="Q16" s="4"/>
      <c r="R16" s="4"/>
      <c r="S16" s="4"/>
      <c r="T16" s="4"/>
      <c r="U16" s="4"/>
      <c r="V16" s="4"/>
      <c r="W16" s="4"/>
      <c r="X16" s="4"/>
      <c r="Y16" s="4"/>
    </row>
    <row r="17" spans="1:25" ht="12.75" customHeight="1">
      <c r="A17" s="141" t="s">
        <v>167</v>
      </c>
      <c r="B17" s="119">
        <v>0</v>
      </c>
      <c r="C17" s="119">
        <f>'Page 3-Assumptions'!$C$11</f>
        <v>0</v>
      </c>
      <c r="D17" s="119">
        <v>0</v>
      </c>
      <c r="E17" s="118">
        <f t="shared" si="0"/>
        <v>0</v>
      </c>
      <c r="F17" s="4"/>
      <c r="G17" s="4"/>
      <c r="H17" s="4"/>
      <c r="I17" s="4"/>
      <c r="J17" s="4"/>
      <c r="K17" s="4"/>
      <c r="L17" s="4"/>
      <c r="M17" s="4"/>
      <c r="N17" s="4"/>
      <c r="O17" s="4"/>
      <c r="P17" s="4"/>
      <c r="Q17" s="4"/>
      <c r="R17" s="4"/>
      <c r="S17" s="4"/>
      <c r="T17" s="4"/>
      <c r="U17" s="4"/>
      <c r="V17" s="4"/>
      <c r="W17" s="4"/>
      <c r="X17" s="4"/>
      <c r="Y17" s="4"/>
    </row>
    <row r="18" spans="1:25" ht="12.75" customHeight="1">
      <c r="A18" s="141" t="s">
        <v>80</v>
      </c>
      <c r="B18" s="119">
        <f>'Page 3-Assumptions'!C14</f>
        <v>500</v>
      </c>
      <c r="C18" s="119">
        <v>0</v>
      </c>
      <c r="D18" s="119">
        <v>0</v>
      </c>
      <c r="E18" s="118">
        <f t="shared" si="0"/>
        <v>500</v>
      </c>
      <c r="F18" s="4"/>
      <c r="G18" s="4"/>
      <c r="H18" s="4"/>
      <c r="I18" s="4"/>
      <c r="J18" s="4"/>
      <c r="K18" s="4"/>
      <c r="L18" s="4"/>
      <c r="M18" s="4"/>
      <c r="N18" s="4"/>
      <c r="O18" s="4"/>
      <c r="P18" s="4"/>
      <c r="Q18" s="4"/>
      <c r="R18" s="4"/>
      <c r="S18" s="4"/>
      <c r="T18" s="4"/>
      <c r="U18" s="4"/>
      <c r="V18" s="4"/>
      <c r="W18" s="4"/>
      <c r="X18" s="4"/>
      <c r="Y18" s="4"/>
    </row>
    <row r="19" spans="1:25" ht="12.75" customHeight="1">
      <c r="A19" s="141" t="s">
        <v>168</v>
      </c>
      <c r="B19" s="117">
        <v>0</v>
      </c>
      <c r="C19" s="116">
        <v>0</v>
      </c>
      <c r="D19" s="116">
        <v>0</v>
      </c>
      <c r="E19" s="118">
        <f t="shared" si="0"/>
        <v>0</v>
      </c>
      <c r="F19" s="4"/>
      <c r="G19" s="4"/>
      <c r="H19" s="4"/>
      <c r="I19" s="4"/>
      <c r="J19" s="4"/>
      <c r="K19" s="4"/>
      <c r="L19" s="4"/>
      <c r="M19" s="4"/>
      <c r="N19" s="4"/>
      <c r="O19" s="4"/>
      <c r="P19" s="4"/>
      <c r="Q19" s="4"/>
      <c r="R19" s="4"/>
      <c r="S19" s="4"/>
      <c r="T19" s="4"/>
      <c r="U19" s="4"/>
      <c r="V19" s="4"/>
      <c r="W19" s="4"/>
      <c r="X19" s="4"/>
      <c r="Y19" s="4"/>
    </row>
    <row r="20" spans="1:25" ht="12.75" customHeight="1">
      <c r="A20" s="141" t="s">
        <v>82</v>
      </c>
      <c r="B20" s="119">
        <f>'Page 3-Assumptions'!C16</f>
        <v>0</v>
      </c>
      <c r="C20" s="119">
        <v>0</v>
      </c>
      <c r="D20" s="119">
        <v>0</v>
      </c>
      <c r="E20" s="118">
        <f t="shared" si="0"/>
        <v>0</v>
      </c>
      <c r="F20" s="4"/>
      <c r="G20" s="4"/>
      <c r="H20" s="4"/>
      <c r="I20" s="4"/>
      <c r="J20" s="4"/>
      <c r="K20" s="4"/>
      <c r="L20" s="4"/>
      <c r="M20" s="4"/>
      <c r="N20" s="4"/>
      <c r="O20" s="4"/>
      <c r="P20" s="4"/>
      <c r="Q20" s="4"/>
      <c r="R20" s="4"/>
      <c r="S20" s="4"/>
      <c r="T20" s="4"/>
      <c r="U20" s="4"/>
      <c r="V20" s="4"/>
      <c r="W20" s="4"/>
      <c r="X20" s="4"/>
      <c r="Y20" s="4"/>
    </row>
    <row r="21" spans="1:25" ht="12.75" customHeight="1">
      <c r="A21" s="141" t="s">
        <v>88</v>
      </c>
      <c r="B21" s="119">
        <f>'Page 3-Assumptions'!C18</f>
        <v>48000</v>
      </c>
      <c r="C21" s="119">
        <v>0</v>
      </c>
      <c r="D21" s="119">
        <v>0</v>
      </c>
      <c r="E21" s="118">
        <f t="shared" si="0"/>
        <v>48000</v>
      </c>
      <c r="F21" s="4"/>
      <c r="G21" s="4"/>
      <c r="H21" s="4"/>
      <c r="I21" s="4"/>
      <c r="J21" s="4"/>
      <c r="K21" s="4"/>
      <c r="L21" s="4"/>
      <c r="M21" s="4"/>
      <c r="N21" s="4"/>
      <c r="O21" s="4"/>
      <c r="P21" s="4"/>
      <c r="Q21" s="4"/>
      <c r="R21" s="4"/>
      <c r="S21" s="4"/>
      <c r="T21" s="4"/>
      <c r="U21" s="4"/>
      <c r="V21" s="4"/>
      <c r="W21" s="4"/>
      <c r="X21" s="4"/>
      <c r="Y21" s="4"/>
    </row>
    <row r="22" spans="1:25" ht="12.75" customHeight="1">
      <c r="A22" s="141" t="s">
        <v>90</v>
      </c>
      <c r="B22" s="119">
        <f>'Page 3-Assumptions'!C19*0</f>
        <v>0</v>
      </c>
      <c r="C22" s="119">
        <f>'Page 3-Assumptions'!$C$19</f>
        <v>13428</v>
      </c>
      <c r="D22" s="119">
        <v>0</v>
      </c>
      <c r="E22" s="118">
        <f t="shared" si="0"/>
        <v>13428</v>
      </c>
      <c r="F22" s="4"/>
      <c r="G22" s="4"/>
      <c r="H22" s="4"/>
      <c r="I22" s="4"/>
      <c r="J22" s="4"/>
      <c r="K22" s="4"/>
      <c r="L22" s="4"/>
      <c r="M22" s="4"/>
      <c r="N22" s="4"/>
      <c r="O22" s="4"/>
      <c r="P22" s="4"/>
      <c r="Q22" s="4"/>
      <c r="R22" s="4"/>
      <c r="S22" s="4"/>
      <c r="T22" s="4"/>
      <c r="U22" s="4"/>
      <c r="V22" s="4"/>
      <c r="W22" s="4"/>
      <c r="X22" s="4"/>
      <c r="Y22" s="4"/>
    </row>
    <row r="23" spans="1:25" ht="12.75" customHeight="1">
      <c r="A23" s="141" t="s">
        <v>169</v>
      </c>
      <c r="B23" s="119">
        <f>'Page 3-Assumptions'!C20*0</f>
        <v>0</v>
      </c>
      <c r="C23" s="119">
        <f>'Page 3-Assumptions'!$C$20</f>
        <v>11200</v>
      </c>
      <c r="D23" s="119">
        <v>0</v>
      </c>
      <c r="E23" s="118">
        <f t="shared" si="0"/>
        <v>11200</v>
      </c>
      <c r="F23" s="4"/>
      <c r="G23" s="4"/>
      <c r="H23" s="4"/>
      <c r="I23" s="4"/>
      <c r="J23" s="4"/>
      <c r="K23" s="4"/>
      <c r="L23" s="4"/>
      <c r="M23" s="4"/>
      <c r="N23" s="4"/>
      <c r="O23" s="4"/>
      <c r="P23" s="4"/>
      <c r="Q23" s="4"/>
      <c r="R23" s="4"/>
      <c r="S23" s="4"/>
      <c r="T23" s="4"/>
      <c r="U23" s="4"/>
      <c r="V23" s="4"/>
      <c r="W23" s="4"/>
      <c r="X23" s="4"/>
      <c r="Y23" s="4"/>
    </row>
    <row r="24" spans="1:25" ht="12.75" customHeight="1">
      <c r="A24" s="340" t="s">
        <v>95</v>
      </c>
      <c r="B24" s="119">
        <f>'Page 3-Assumptions'!C21</f>
        <v>0</v>
      </c>
      <c r="C24" s="119">
        <f>'Page 3-Assumptions'!$C$21</f>
        <v>0</v>
      </c>
      <c r="D24" s="119">
        <v>0</v>
      </c>
      <c r="E24" s="118">
        <f t="shared" si="0"/>
        <v>0</v>
      </c>
      <c r="F24" s="4"/>
      <c r="G24" s="4"/>
      <c r="H24" s="4"/>
      <c r="I24" s="4"/>
      <c r="J24" s="4"/>
      <c r="K24" s="4"/>
      <c r="L24" s="4"/>
      <c r="M24" s="4"/>
      <c r="N24" s="4"/>
      <c r="O24" s="4"/>
      <c r="P24" s="4"/>
      <c r="Q24" s="4"/>
      <c r="R24" s="4"/>
      <c r="S24" s="4"/>
      <c r="T24" s="4"/>
      <c r="U24" s="4"/>
      <c r="V24" s="4"/>
      <c r="W24" s="4"/>
      <c r="X24" s="4"/>
      <c r="Y24" s="4"/>
    </row>
    <row r="25" spans="1:25" ht="12.75" customHeight="1">
      <c r="A25" s="141" t="s">
        <v>170</v>
      </c>
      <c r="B25" s="119">
        <v>0</v>
      </c>
      <c r="C25" s="119">
        <f>'Page 3-Assumptions'!$C22</f>
        <v>1500</v>
      </c>
      <c r="D25" s="119">
        <v>0</v>
      </c>
      <c r="E25" s="118">
        <f t="shared" si="0"/>
        <v>1500</v>
      </c>
      <c r="F25" s="4"/>
      <c r="G25" s="4"/>
      <c r="H25" s="4"/>
      <c r="I25" s="4"/>
      <c r="J25" s="4"/>
      <c r="K25" s="4"/>
      <c r="L25" s="4"/>
      <c r="M25" s="4"/>
      <c r="N25" s="4"/>
      <c r="O25" s="4"/>
      <c r="P25" s="4"/>
      <c r="Q25" s="4"/>
      <c r="R25" s="4"/>
      <c r="S25" s="4"/>
      <c r="T25" s="4"/>
      <c r="U25" s="4"/>
      <c r="V25" s="4"/>
      <c r="W25" s="4"/>
      <c r="X25" s="4"/>
      <c r="Y25" s="4"/>
    </row>
    <row r="26" spans="1:25" ht="27.75" customHeight="1">
      <c r="A26" s="340" t="s">
        <v>171</v>
      </c>
      <c r="B26" s="119">
        <f>((6.67*'Page 1-Enrollment Plan'!C23*160)*1.02)</f>
        <v>82729.343999999997</v>
      </c>
      <c r="C26" s="116">
        <v>0</v>
      </c>
      <c r="D26" s="116">
        <v>0</v>
      </c>
      <c r="E26" s="118">
        <f t="shared" si="0"/>
        <v>82729.343999999997</v>
      </c>
      <c r="F26" s="4"/>
      <c r="G26" s="4"/>
      <c r="H26" s="4"/>
      <c r="I26" s="4"/>
      <c r="J26" s="4"/>
      <c r="K26" s="4"/>
      <c r="L26" s="4"/>
      <c r="M26" s="4"/>
      <c r="N26" s="4"/>
      <c r="O26" s="4"/>
      <c r="P26" s="4"/>
      <c r="Q26" s="4"/>
      <c r="R26" s="4"/>
      <c r="S26" s="4"/>
      <c r="T26" s="4"/>
      <c r="U26" s="4"/>
      <c r="V26" s="4"/>
      <c r="W26" s="4"/>
      <c r="X26" s="4"/>
      <c r="Y26" s="4"/>
    </row>
    <row r="27" spans="1:25" ht="12.75" customHeight="1">
      <c r="A27" s="340" t="s">
        <v>172</v>
      </c>
      <c r="B27" s="119"/>
      <c r="C27" s="119">
        <v>0</v>
      </c>
      <c r="D27" s="119">
        <f>'Support-CDE start-up grant'!C4</f>
        <v>0</v>
      </c>
      <c r="E27" s="118">
        <f t="shared" si="0"/>
        <v>0</v>
      </c>
      <c r="F27" s="4"/>
      <c r="G27" s="4"/>
      <c r="H27" s="4"/>
      <c r="I27" s="4"/>
      <c r="J27" s="4"/>
      <c r="K27" s="4"/>
      <c r="L27" s="4"/>
      <c r="M27" s="4"/>
      <c r="N27" s="4"/>
      <c r="O27" s="4"/>
      <c r="P27" s="4"/>
      <c r="Q27" s="4"/>
      <c r="R27" s="4"/>
      <c r="S27" s="4"/>
      <c r="T27" s="4"/>
      <c r="U27" s="4"/>
      <c r="V27" s="4"/>
      <c r="W27" s="4"/>
      <c r="X27" s="4"/>
      <c r="Y27" s="4"/>
    </row>
    <row r="28" spans="1:25" ht="12.75" customHeight="1">
      <c r="A28" s="340" t="s">
        <v>57</v>
      </c>
      <c r="B28" s="119">
        <f>'Page 3-Assumptions'!C5*E6</f>
        <v>555942.77999999991</v>
      </c>
      <c r="C28" s="119">
        <v>0</v>
      </c>
      <c r="D28" s="119"/>
      <c r="E28" s="118">
        <f t="shared" si="0"/>
        <v>555942.77999999991</v>
      </c>
      <c r="F28" s="4"/>
      <c r="G28" s="4"/>
      <c r="H28" s="4"/>
      <c r="I28" s="4"/>
      <c r="J28" s="4"/>
      <c r="K28" s="4"/>
      <c r="L28" s="4"/>
      <c r="M28" s="4"/>
      <c r="N28" s="4"/>
      <c r="O28" s="4"/>
      <c r="P28" s="4"/>
      <c r="Q28" s="4"/>
      <c r="R28" s="4"/>
      <c r="S28" s="4"/>
      <c r="T28" s="4"/>
      <c r="U28" s="4"/>
      <c r="V28" s="4"/>
      <c r="W28" s="4"/>
      <c r="X28" s="4"/>
      <c r="Y28" s="4"/>
    </row>
    <row r="29" spans="1:25" ht="12.75" customHeight="1">
      <c r="A29" s="141" t="s">
        <v>232</v>
      </c>
      <c r="B29" s="121">
        <v>73535.61</v>
      </c>
      <c r="C29" s="121">
        <v>0</v>
      </c>
      <c r="D29" s="121">
        <v>0</v>
      </c>
      <c r="E29" s="118">
        <f t="shared" si="0"/>
        <v>73535.61</v>
      </c>
      <c r="F29" s="4"/>
      <c r="G29" s="4"/>
      <c r="H29" s="4"/>
      <c r="I29" s="4"/>
      <c r="J29" s="4"/>
      <c r="K29" s="4"/>
      <c r="L29" s="4"/>
      <c r="M29" s="4"/>
      <c r="N29" s="4"/>
      <c r="O29" s="4"/>
      <c r="P29" s="4"/>
      <c r="Q29" s="4"/>
      <c r="R29" s="4"/>
      <c r="S29" s="4"/>
      <c r="T29" s="4"/>
      <c r="U29" s="4"/>
      <c r="V29" s="4"/>
      <c r="W29" s="4"/>
      <c r="X29" s="4"/>
      <c r="Y29" s="4"/>
    </row>
    <row r="30" spans="1:25" ht="12.75" customHeight="1">
      <c r="A30" s="122" t="s">
        <v>174</v>
      </c>
      <c r="B30" s="123">
        <f t="shared" ref="B30:E30" si="1">SUM(B8:B29)</f>
        <v>978751.50399999984</v>
      </c>
      <c r="C30" s="123">
        <f t="shared" si="1"/>
        <v>26128</v>
      </c>
      <c r="D30" s="123">
        <f t="shared" si="1"/>
        <v>0</v>
      </c>
      <c r="E30" s="123">
        <f t="shared" si="1"/>
        <v>1004879.5039999998</v>
      </c>
      <c r="F30" s="4"/>
      <c r="G30" s="4"/>
      <c r="H30" s="4"/>
      <c r="I30" s="4"/>
      <c r="J30" s="4"/>
      <c r="K30" s="4"/>
      <c r="L30" s="4"/>
      <c r="M30" s="4"/>
      <c r="N30" s="4"/>
      <c r="O30" s="4"/>
      <c r="P30" s="4"/>
      <c r="Q30" s="4"/>
      <c r="R30" s="4"/>
      <c r="S30" s="4"/>
      <c r="T30" s="4"/>
      <c r="U30" s="4"/>
      <c r="V30" s="4"/>
      <c r="W30" s="4"/>
      <c r="X30" s="4"/>
      <c r="Y30" s="4"/>
    </row>
    <row r="31" spans="1:25" ht="12.75" customHeight="1">
      <c r="A31" s="328"/>
      <c r="B31" s="144"/>
      <c r="C31" s="144"/>
      <c r="D31" s="144"/>
      <c r="E31" s="145"/>
      <c r="F31" s="4"/>
      <c r="G31" s="4"/>
      <c r="H31" s="4"/>
      <c r="I31" s="4"/>
      <c r="J31" s="4"/>
      <c r="K31" s="4"/>
      <c r="L31" s="4"/>
      <c r="M31" s="4"/>
      <c r="N31" s="4"/>
      <c r="O31" s="4"/>
      <c r="P31" s="4"/>
      <c r="Q31" s="4"/>
      <c r="R31" s="4"/>
      <c r="S31" s="4"/>
      <c r="T31" s="4"/>
      <c r="U31" s="4"/>
      <c r="V31" s="4"/>
      <c r="W31" s="4"/>
      <c r="X31" s="4"/>
      <c r="Y31" s="4"/>
    </row>
    <row r="32" spans="1:25" ht="12.75" customHeight="1">
      <c r="A32" s="331" t="s">
        <v>106</v>
      </c>
      <c r="B32" s="119">
        <v>0</v>
      </c>
      <c r="C32" s="119">
        <v>0</v>
      </c>
      <c r="D32" s="119">
        <v>0</v>
      </c>
      <c r="E32" s="118"/>
      <c r="F32" s="4"/>
      <c r="G32" s="4"/>
      <c r="H32" s="4"/>
      <c r="I32" s="4"/>
      <c r="J32" s="4"/>
      <c r="K32" s="4"/>
      <c r="L32" s="4"/>
      <c r="M32" s="4"/>
      <c r="N32" s="4"/>
      <c r="O32" s="4"/>
      <c r="P32" s="4"/>
      <c r="Q32" s="4"/>
      <c r="R32" s="4"/>
      <c r="S32" s="4"/>
      <c r="T32" s="4"/>
      <c r="U32" s="4"/>
      <c r="V32" s="4"/>
      <c r="W32" s="4"/>
      <c r="X32" s="4"/>
      <c r="Y32" s="4"/>
    </row>
    <row r="33" spans="1:25" ht="12.75" customHeight="1">
      <c r="A33" s="141" t="s">
        <v>175</v>
      </c>
      <c r="B33" s="119">
        <f>'Page 2-Staffing Plan'!C32-(C33+D33)</f>
        <v>488580</v>
      </c>
      <c r="C33" s="116">
        <v>0</v>
      </c>
      <c r="D33" s="116">
        <v>0</v>
      </c>
      <c r="E33" s="118">
        <f t="shared" ref="E33:E73" si="2">SUM(B33:D33)</f>
        <v>488580</v>
      </c>
      <c r="F33" s="4"/>
      <c r="G33" s="4"/>
      <c r="H33" s="4"/>
      <c r="I33" s="4"/>
      <c r="J33" s="4"/>
      <c r="K33" s="4"/>
      <c r="L33" s="4"/>
      <c r="M33" s="4"/>
      <c r="N33" s="4"/>
      <c r="O33" s="4"/>
      <c r="P33" s="4"/>
      <c r="Q33" s="4"/>
      <c r="R33" s="4"/>
      <c r="S33" s="4"/>
      <c r="T33" s="4"/>
      <c r="U33" s="4"/>
      <c r="V33" s="4"/>
      <c r="W33" s="4"/>
      <c r="X33" s="4"/>
      <c r="Y33" s="4"/>
    </row>
    <row r="34" spans="1:25" ht="12.75" customHeight="1">
      <c r="A34" s="141" t="s">
        <v>176</v>
      </c>
      <c r="B34" s="119">
        <v>5720</v>
      </c>
      <c r="C34" s="116">
        <v>0</v>
      </c>
      <c r="D34" s="116">
        <v>0</v>
      </c>
      <c r="E34" s="118">
        <f t="shared" si="2"/>
        <v>5720</v>
      </c>
      <c r="F34" s="4"/>
      <c r="G34" s="4"/>
      <c r="H34" s="4"/>
      <c r="I34" s="4"/>
      <c r="J34" s="4"/>
      <c r="K34" s="4"/>
      <c r="L34" s="4"/>
      <c r="M34" s="4"/>
      <c r="N34" s="4"/>
      <c r="O34" s="4"/>
      <c r="P34" s="4"/>
      <c r="Q34" s="4"/>
      <c r="R34" s="4"/>
      <c r="S34" s="4"/>
      <c r="T34" s="4"/>
      <c r="U34" s="4"/>
      <c r="V34" s="4"/>
      <c r="W34" s="4"/>
      <c r="X34" s="4"/>
      <c r="Y34" s="4"/>
    </row>
    <row r="35" spans="1:25" ht="12.75" customHeight="1">
      <c r="A35" s="141" t="s">
        <v>177</v>
      </c>
      <c r="B35" s="146">
        <f>((E33+E34)*1.45%)-C35</f>
        <v>7167.3499999999995</v>
      </c>
      <c r="C35" s="119">
        <f>ROUND((C33+C34)*1.45%,0)</f>
        <v>0</v>
      </c>
      <c r="D35" s="116">
        <v>0</v>
      </c>
      <c r="E35" s="118">
        <f t="shared" si="2"/>
        <v>7167.3499999999995</v>
      </c>
      <c r="F35" s="4"/>
      <c r="G35" s="4"/>
      <c r="H35" s="4"/>
      <c r="I35" s="4"/>
      <c r="J35" s="4"/>
      <c r="K35" s="4"/>
      <c r="L35" s="4"/>
      <c r="M35" s="4"/>
      <c r="N35" s="4"/>
      <c r="O35" s="4"/>
      <c r="P35" s="4"/>
      <c r="Q35" s="4"/>
      <c r="R35" s="4"/>
      <c r="S35" s="4"/>
      <c r="T35" s="4"/>
      <c r="U35" s="4"/>
      <c r="V35" s="4"/>
      <c r="W35" s="4"/>
      <c r="X35" s="4"/>
      <c r="Y35" s="4"/>
    </row>
    <row r="36" spans="1:25" ht="12.75" customHeight="1">
      <c r="A36" s="141" t="s">
        <v>178</v>
      </c>
      <c r="B36" s="119">
        <v>0</v>
      </c>
      <c r="C36" s="116">
        <v>0</v>
      </c>
      <c r="D36" s="116">
        <v>0</v>
      </c>
      <c r="E36" s="118">
        <f t="shared" si="2"/>
        <v>0</v>
      </c>
      <c r="F36" s="4"/>
      <c r="G36" s="4"/>
      <c r="H36" s="4"/>
      <c r="I36" s="4"/>
      <c r="J36" s="4"/>
      <c r="K36" s="4"/>
      <c r="L36" s="4"/>
      <c r="M36" s="4"/>
      <c r="N36" s="4"/>
      <c r="O36" s="4"/>
      <c r="P36" s="4"/>
      <c r="Q36" s="4"/>
      <c r="R36" s="4"/>
      <c r="S36" s="4"/>
      <c r="T36" s="4"/>
      <c r="U36" s="4"/>
      <c r="V36" s="4"/>
      <c r="W36" s="4"/>
      <c r="X36" s="4"/>
      <c r="Y36" s="4"/>
    </row>
    <row r="37" spans="1:25" ht="12.75" customHeight="1">
      <c r="A37" s="141" t="s">
        <v>179</v>
      </c>
      <c r="B37" s="119">
        <f>((E33+E34)*'Page 3-Assumptions'!C31)-C37</f>
        <v>108251.7</v>
      </c>
      <c r="C37" s="116">
        <v>0</v>
      </c>
      <c r="D37" s="116">
        <v>0</v>
      </c>
      <c r="E37" s="118">
        <f t="shared" si="2"/>
        <v>108251.7</v>
      </c>
      <c r="F37" s="4"/>
      <c r="G37" s="4"/>
      <c r="H37" s="4"/>
      <c r="I37" s="4"/>
      <c r="J37" s="4"/>
      <c r="K37" s="4"/>
      <c r="L37" s="4"/>
      <c r="M37" s="4"/>
      <c r="N37" s="4"/>
      <c r="O37" s="4"/>
      <c r="P37" s="4"/>
      <c r="Q37" s="4"/>
      <c r="R37" s="4"/>
      <c r="S37" s="4"/>
      <c r="T37" s="4"/>
      <c r="U37" s="4"/>
      <c r="V37" s="4"/>
      <c r="W37" s="4"/>
      <c r="X37" s="4"/>
      <c r="Y37" s="4"/>
    </row>
    <row r="38" spans="1:25" ht="12.75" customHeight="1">
      <c r="A38" s="141" t="s">
        <v>180</v>
      </c>
      <c r="B38" s="119">
        <f>(('Page 3-Assumptions'!B41*1.05*(8)))*0.8</f>
        <v>33600</v>
      </c>
      <c r="C38" s="116">
        <v>0</v>
      </c>
      <c r="D38" s="116">
        <v>0</v>
      </c>
      <c r="E38" s="118">
        <f t="shared" si="2"/>
        <v>33600</v>
      </c>
      <c r="F38" s="4"/>
      <c r="G38" s="4"/>
      <c r="H38" s="4"/>
      <c r="I38" s="4"/>
      <c r="J38" s="4"/>
      <c r="K38" s="4"/>
      <c r="L38" s="4"/>
      <c r="M38" s="4"/>
      <c r="N38" s="4"/>
      <c r="O38" s="4"/>
      <c r="P38" s="4"/>
      <c r="Q38" s="4"/>
      <c r="R38" s="4"/>
      <c r="S38" s="4"/>
      <c r="T38" s="4"/>
      <c r="U38" s="4"/>
      <c r="V38" s="4"/>
      <c r="W38" s="4"/>
      <c r="X38" s="4"/>
      <c r="Y38" s="4"/>
    </row>
    <row r="39" spans="1:25" ht="12.75" customHeight="1">
      <c r="A39" s="141" t="s">
        <v>181</v>
      </c>
      <c r="B39" s="119">
        <f>'Page 3-Assumptions'!B42*8*0.8</f>
        <v>2112</v>
      </c>
      <c r="C39" s="116">
        <v>0</v>
      </c>
      <c r="D39" s="116">
        <v>0</v>
      </c>
      <c r="E39" s="118">
        <f t="shared" si="2"/>
        <v>2112</v>
      </c>
      <c r="F39" s="4"/>
      <c r="G39" s="4"/>
      <c r="H39" s="4"/>
      <c r="I39" s="4"/>
      <c r="J39" s="4"/>
      <c r="K39" s="4"/>
      <c r="L39" s="4"/>
      <c r="M39" s="4"/>
      <c r="N39" s="4"/>
      <c r="O39" s="4"/>
      <c r="P39" s="4"/>
      <c r="Q39" s="4"/>
      <c r="R39" s="4"/>
      <c r="S39" s="4"/>
      <c r="T39" s="4"/>
      <c r="U39" s="4"/>
      <c r="V39" s="4"/>
      <c r="W39" s="4"/>
      <c r="X39" s="4"/>
      <c r="Y39" s="4"/>
    </row>
    <row r="40" spans="1:25" ht="12.75" customHeight="1">
      <c r="A40" s="327" t="s">
        <v>182</v>
      </c>
      <c r="B40" s="119">
        <f>'Page 3-Assumptions'!$B$43*'Page 2-Staffing Plan'!C37</f>
        <v>0</v>
      </c>
      <c r="C40" s="116">
        <v>0</v>
      </c>
      <c r="D40" s="116">
        <v>0</v>
      </c>
      <c r="E40" s="118">
        <f t="shared" si="2"/>
        <v>0</v>
      </c>
      <c r="F40" s="4"/>
      <c r="G40" s="4"/>
      <c r="H40" s="4"/>
      <c r="I40" s="4"/>
      <c r="J40" s="4"/>
      <c r="K40" s="4"/>
      <c r="L40" s="4"/>
      <c r="M40" s="4"/>
      <c r="N40" s="4"/>
      <c r="O40" s="4"/>
      <c r="P40" s="4"/>
      <c r="Q40" s="4"/>
      <c r="R40" s="4"/>
      <c r="S40" s="4"/>
      <c r="T40" s="4"/>
      <c r="U40" s="4"/>
      <c r="V40" s="4"/>
      <c r="W40" s="4"/>
      <c r="X40" s="4"/>
      <c r="Y40" s="4"/>
    </row>
    <row r="41" spans="1:25" ht="12.75" customHeight="1">
      <c r="A41" s="141" t="s">
        <v>183</v>
      </c>
      <c r="B41" s="143">
        <v>82729</v>
      </c>
      <c r="C41" s="117">
        <v>0</v>
      </c>
      <c r="D41" s="116">
        <v>0</v>
      </c>
      <c r="E41" s="118">
        <f t="shared" si="2"/>
        <v>82729</v>
      </c>
      <c r="F41" s="4"/>
      <c r="G41" s="4"/>
      <c r="H41" s="4"/>
      <c r="I41" s="4"/>
      <c r="J41" s="4"/>
      <c r="K41" s="4"/>
      <c r="L41" s="4"/>
      <c r="M41" s="4"/>
      <c r="N41" s="4"/>
      <c r="O41" s="4"/>
      <c r="P41" s="4"/>
      <c r="Q41" s="4"/>
      <c r="R41" s="4"/>
      <c r="S41" s="4"/>
      <c r="T41" s="4"/>
      <c r="U41" s="4"/>
      <c r="V41" s="4"/>
      <c r="W41" s="4"/>
      <c r="X41" s="4"/>
      <c r="Y41" s="4"/>
    </row>
    <row r="42" spans="1:25" ht="12.75" customHeight="1">
      <c r="A42" s="327" t="s">
        <v>184</v>
      </c>
      <c r="B42" s="119">
        <v>1224</v>
      </c>
      <c r="C42" s="116">
        <v>0</v>
      </c>
      <c r="D42" s="116">
        <v>0</v>
      </c>
      <c r="E42" s="118">
        <f t="shared" si="2"/>
        <v>1224</v>
      </c>
      <c r="F42" s="4" t="s">
        <v>0</v>
      </c>
      <c r="G42" s="4"/>
      <c r="H42" s="4"/>
      <c r="I42" s="4"/>
      <c r="J42" s="4"/>
      <c r="K42" s="4"/>
      <c r="L42" s="4"/>
      <c r="M42" s="4"/>
      <c r="N42" s="4"/>
      <c r="O42" s="4"/>
      <c r="P42" s="4"/>
      <c r="Q42" s="4"/>
      <c r="R42" s="4"/>
      <c r="S42" s="4"/>
      <c r="T42" s="4"/>
      <c r="U42" s="4"/>
      <c r="V42" s="4"/>
      <c r="W42" s="4"/>
      <c r="X42" s="4"/>
      <c r="Y42" s="4"/>
    </row>
    <row r="43" spans="1:25" ht="12.75" customHeight="1">
      <c r="A43" s="327" t="s">
        <v>185</v>
      </c>
      <c r="B43" s="147">
        <v>17500</v>
      </c>
      <c r="C43" s="116">
        <v>0</v>
      </c>
      <c r="D43" s="116">
        <v>0</v>
      </c>
      <c r="E43" s="118">
        <f t="shared" si="2"/>
        <v>17500</v>
      </c>
      <c r="F43" s="4"/>
      <c r="G43" s="4"/>
      <c r="H43" s="4"/>
      <c r="I43" s="4"/>
      <c r="J43" s="4"/>
      <c r="K43" s="4"/>
      <c r="L43" s="4"/>
      <c r="M43" s="4"/>
      <c r="N43" s="4"/>
      <c r="O43" s="4"/>
      <c r="P43" s="4"/>
      <c r="Q43" s="4"/>
      <c r="R43" s="4"/>
      <c r="S43" s="4"/>
      <c r="T43" s="4"/>
      <c r="U43" s="4"/>
      <c r="V43" s="4"/>
      <c r="W43" s="4"/>
      <c r="X43" s="4"/>
      <c r="Y43" s="4"/>
    </row>
    <row r="44" spans="1:25" ht="12.75" customHeight="1">
      <c r="A44" s="141" t="s">
        <v>186</v>
      </c>
      <c r="B44" s="148">
        <v>2460</v>
      </c>
      <c r="C44" s="116">
        <v>0</v>
      </c>
      <c r="D44" s="116">
        <v>0</v>
      </c>
      <c r="E44" s="118">
        <f t="shared" si="2"/>
        <v>2460</v>
      </c>
      <c r="F44" s="4"/>
      <c r="G44" s="4"/>
      <c r="H44" s="4"/>
      <c r="I44" s="4"/>
      <c r="J44" s="4"/>
      <c r="K44" s="4"/>
      <c r="L44" s="4" t="s">
        <v>233</v>
      </c>
      <c r="M44" s="4"/>
      <c r="N44" s="4"/>
      <c r="O44" s="4"/>
      <c r="P44" s="4"/>
      <c r="Q44" s="4"/>
      <c r="R44" s="4"/>
      <c r="S44" s="4"/>
      <c r="T44" s="4"/>
      <c r="U44" s="4"/>
      <c r="V44" s="4"/>
      <c r="W44" s="4"/>
      <c r="X44" s="4"/>
      <c r="Y44" s="4"/>
    </row>
    <row r="45" spans="1:25" ht="12.75" customHeight="1">
      <c r="A45" s="327" t="s">
        <v>187</v>
      </c>
      <c r="B45" s="127">
        <v>3500</v>
      </c>
      <c r="C45" s="116">
        <v>0</v>
      </c>
      <c r="D45" s="116">
        <f>'Support-CDE start-up grant'!C11</f>
        <v>0</v>
      </c>
      <c r="E45" s="118">
        <f t="shared" si="2"/>
        <v>3500</v>
      </c>
      <c r="F45" s="4"/>
      <c r="G45" s="4"/>
      <c r="H45" s="4"/>
      <c r="I45" s="4"/>
      <c r="J45" s="4"/>
      <c r="K45" s="4"/>
      <c r="L45" s="4"/>
      <c r="M45" s="4"/>
      <c r="N45" s="4"/>
      <c r="O45" s="4"/>
      <c r="P45" s="4"/>
      <c r="Q45" s="4"/>
      <c r="R45" s="4"/>
      <c r="S45" s="4"/>
      <c r="T45" s="4"/>
      <c r="U45" s="4"/>
      <c r="V45" s="4"/>
      <c r="W45" s="4"/>
      <c r="X45" s="4"/>
      <c r="Y45" s="4"/>
    </row>
    <row r="46" spans="1:25" ht="26.25" customHeight="1">
      <c r="A46" s="327" t="s">
        <v>188</v>
      </c>
      <c r="B46" s="127">
        <f>((2700/2*12)+(8000/2))</f>
        <v>20200</v>
      </c>
      <c r="C46" s="116">
        <v>0</v>
      </c>
      <c r="D46" s="116">
        <f>'Support-CDE start-up grant'!C10</f>
        <v>0</v>
      </c>
      <c r="E46" s="118">
        <f t="shared" si="2"/>
        <v>20200</v>
      </c>
      <c r="F46" s="4"/>
      <c r="G46" s="4"/>
      <c r="H46" s="4"/>
      <c r="I46" s="4"/>
      <c r="J46" s="4"/>
      <c r="K46" s="4"/>
      <c r="L46" s="4"/>
      <c r="M46" s="4"/>
      <c r="N46" s="4"/>
      <c r="O46" s="4"/>
      <c r="P46" s="4"/>
      <c r="Q46" s="4"/>
      <c r="R46" s="4"/>
      <c r="S46" s="4"/>
      <c r="T46" s="4"/>
      <c r="U46" s="4"/>
      <c r="V46" s="4"/>
      <c r="W46" s="4"/>
      <c r="X46" s="4"/>
      <c r="Y46" s="4"/>
    </row>
    <row r="47" spans="1:25" ht="12.75" customHeight="1">
      <c r="A47" s="327" t="s">
        <v>189</v>
      </c>
      <c r="B47" s="119">
        <v>4000</v>
      </c>
      <c r="C47" s="116">
        <f>SUM(C16:C24)</f>
        <v>24628</v>
      </c>
      <c r="D47" s="116">
        <v>0</v>
      </c>
      <c r="E47" s="118">
        <f t="shared" si="2"/>
        <v>28628</v>
      </c>
      <c r="F47" s="4"/>
      <c r="G47" s="4"/>
      <c r="H47" s="4"/>
      <c r="I47" s="4"/>
      <c r="J47" s="4"/>
      <c r="K47" s="4"/>
      <c r="L47" s="4"/>
      <c r="M47" s="4"/>
      <c r="N47" s="4"/>
      <c r="O47" s="4"/>
      <c r="P47" s="4"/>
      <c r="Q47" s="4"/>
      <c r="R47" s="4"/>
      <c r="S47" s="4"/>
      <c r="T47" s="4"/>
      <c r="U47" s="4"/>
      <c r="V47" s="4"/>
      <c r="W47" s="4"/>
      <c r="X47" s="4"/>
      <c r="Y47" s="4"/>
    </row>
    <row r="48" spans="1:25" ht="12.75" customHeight="1">
      <c r="A48" s="327" t="s">
        <v>190</v>
      </c>
      <c r="B48" s="119">
        <v>5000</v>
      </c>
      <c r="C48" s="116">
        <v>0</v>
      </c>
      <c r="D48" s="116">
        <f>'Support-CDE start-up grant'!C12</f>
        <v>0</v>
      </c>
      <c r="E48" s="118">
        <f t="shared" si="2"/>
        <v>5000</v>
      </c>
      <c r="F48" s="4"/>
      <c r="G48" s="4"/>
      <c r="H48" s="4"/>
      <c r="I48" s="4"/>
      <c r="J48" s="4"/>
      <c r="K48" s="4"/>
      <c r="L48" s="4"/>
      <c r="M48" s="4"/>
      <c r="N48" s="4"/>
      <c r="O48" s="4"/>
      <c r="P48" s="4"/>
      <c r="Q48" s="4"/>
      <c r="R48" s="4"/>
      <c r="S48" s="4"/>
      <c r="T48" s="4"/>
      <c r="U48" s="4"/>
      <c r="V48" s="4"/>
      <c r="W48" s="4"/>
      <c r="X48" s="4"/>
      <c r="Y48" s="4"/>
    </row>
    <row r="49" spans="1:25" ht="12.75" customHeight="1">
      <c r="A49" s="141" t="s">
        <v>191</v>
      </c>
      <c r="B49" s="127">
        <f>(500+(330*12))*1.02</f>
        <v>4549.2</v>
      </c>
      <c r="C49" s="117">
        <v>0</v>
      </c>
      <c r="D49" s="116">
        <v>0</v>
      </c>
      <c r="E49" s="118">
        <f t="shared" si="2"/>
        <v>4549.2</v>
      </c>
      <c r="F49" s="4"/>
      <c r="G49" s="4"/>
      <c r="H49" s="4"/>
      <c r="I49" s="4"/>
      <c r="J49" s="4"/>
      <c r="K49" s="4"/>
      <c r="L49" s="4"/>
      <c r="M49" s="4"/>
      <c r="N49" s="4"/>
      <c r="O49" s="4"/>
      <c r="P49" s="4"/>
      <c r="Q49" s="4"/>
      <c r="R49" s="4"/>
      <c r="S49" s="4"/>
      <c r="T49" s="4"/>
      <c r="U49" s="4"/>
      <c r="V49" s="4"/>
      <c r="W49" s="4"/>
      <c r="X49" s="4"/>
      <c r="Y49" s="4"/>
    </row>
    <row r="50" spans="1:25" ht="12.75" customHeight="1">
      <c r="A50" s="327" t="s">
        <v>192</v>
      </c>
      <c r="B50" s="149"/>
      <c r="C50" s="150">
        <v>0</v>
      </c>
      <c r="D50" s="150">
        <v>0</v>
      </c>
      <c r="E50" s="151">
        <f t="shared" si="2"/>
        <v>0</v>
      </c>
      <c r="F50" s="4"/>
      <c r="G50" s="4"/>
      <c r="H50" s="4"/>
      <c r="I50" s="4"/>
      <c r="J50" s="4"/>
      <c r="K50" s="4"/>
      <c r="L50" s="4"/>
      <c r="M50" s="4"/>
      <c r="N50" s="4"/>
      <c r="O50" s="4"/>
      <c r="P50" s="4"/>
      <c r="Q50" s="4"/>
      <c r="R50" s="4"/>
      <c r="S50" s="4"/>
      <c r="T50" s="4"/>
      <c r="U50" s="4"/>
      <c r="V50" s="4"/>
      <c r="W50" s="4"/>
      <c r="X50" s="4"/>
      <c r="Y50" s="4"/>
    </row>
    <row r="51" spans="1:25" ht="12.75" customHeight="1">
      <c r="A51" s="327" t="s">
        <v>193</v>
      </c>
      <c r="B51" s="127">
        <f>0.05*36000</f>
        <v>1800</v>
      </c>
      <c r="C51" s="116">
        <v>0</v>
      </c>
      <c r="D51" s="116">
        <v>0</v>
      </c>
      <c r="E51" s="118">
        <f t="shared" si="2"/>
        <v>1800</v>
      </c>
      <c r="F51" s="4"/>
      <c r="G51" s="4"/>
      <c r="H51" s="4"/>
      <c r="I51" s="4"/>
      <c r="J51" s="4"/>
      <c r="K51" s="4"/>
      <c r="L51" s="4"/>
      <c r="M51" s="4"/>
      <c r="N51" s="4"/>
      <c r="O51" s="4"/>
      <c r="P51" s="4"/>
      <c r="Q51" s="4"/>
      <c r="R51" s="4"/>
      <c r="S51" s="4"/>
      <c r="T51" s="4"/>
      <c r="U51" s="4"/>
      <c r="V51" s="4"/>
      <c r="W51" s="4"/>
      <c r="X51" s="4"/>
      <c r="Y51" s="4"/>
    </row>
    <row r="52" spans="1:25" ht="12.75" customHeight="1">
      <c r="A52" s="327" t="s">
        <v>194</v>
      </c>
      <c r="B52" s="119">
        <v>48000</v>
      </c>
      <c r="C52" s="116">
        <v>0</v>
      </c>
      <c r="D52" s="116">
        <v>0</v>
      </c>
      <c r="E52" s="118">
        <f t="shared" si="2"/>
        <v>48000</v>
      </c>
      <c r="F52" s="4"/>
      <c r="G52" s="4"/>
      <c r="H52" s="4"/>
      <c r="I52" s="4"/>
      <c r="J52" s="4"/>
      <c r="K52" s="4"/>
      <c r="L52" s="4"/>
      <c r="M52" s="4"/>
      <c r="N52" s="4"/>
      <c r="O52" s="4"/>
      <c r="P52" s="4"/>
      <c r="Q52" s="4"/>
      <c r="R52" s="4"/>
      <c r="S52" s="4"/>
      <c r="T52" s="4"/>
      <c r="U52" s="4"/>
      <c r="V52" s="4"/>
      <c r="W52" s="4"/>
      <c r="X52" s="4"/>
      <c r="Y52" s="4"/>
    </row>
    <row r="53" spans="1:25" ht="12.75" customHeight="1">
      <c r="A53" s="327" t="s">
        <v>195</v>
      </c>
      <c r="B53" s="119">
        <v>2000</v>
      </c>
      <c r="C53" s="116">
        <v>0</v>
      </c>
      <c r="D53" s="116">
        <v>0</v>
      </c>
      <c r="E53" s="118">
        <f t="shared" si="2"/>
        <v>2000</v>
      </c>
      <c r="F53" s="4"/>
      <c r="G53" s="4"/>
      <c r="H53" s="4"/>
      <c r="I53" s="4"/>
      <c r="J53" s="4"/>
      <c r="K53" s="4"/>
      <c r="L53" s="4"/>
      <c r="M53" s="4"/>
      <c r="N53" s="4"/>
      <c r="O53" s="4"/>
      <c r="P53" s="4"/>
      <c r="Q53" s="4"/>
      <c r="R53" s="4"/>
      <c r="S53" s="4"/>
      <c r="T53" s="4"/>
      <c r="U53" s="4"/>
      <c r="V53" s="4"/>
      <c r="W53" s="4"/>
      <c r="X53" s="4"/>
      <c r="Y53" s="4"/>
    </row>
    <row r="54" spans="1:25" ht="12.75" customHeight="1">
      <c r="A54" s="141" t="s">
        <v>196</v>
      </c>
      <c r="B54" s="119">
        <f>'Page 3-Assumptions'!C35</f>
        <v>9400.32</v>
      </c>
      <c r="C54" s="116">
        <v>0</v>
      </c>
      <c r="D54" s="116">
        <v>0</v>
      </c>
      <c r="E54" s="118">
        <f t="shared" si="2"/>
        <v>9400.32</v>
      </c>
      <c r="F54" s="4"/>
      <c r="G54" s="4"/>
      <c r="H54" s="4"/>
      <c r="I54" s="4"/>
      <c r="J54" s="4"/>
      <c r="K54" s="4"/>
      <c r="L54" s="4"/>
      <c r="M54" s="4"/>
      <c r="N54" s="4"/>
      <c r="O54" s="4"/>
      <c r="P54" s="4"/>
      <c r="Q54" s="4"/>
      <c r="R54" s="4"/>
      <c r="S54" s="4"/>
      <c r="T54" s="4"/>
      <c r="U54" s="4"/>
      <c r="V54" s="4"/>
      <c r="W54" s="4"/>
      <c r="X54" s="4"/>
      <c r="Y54" s="4"/>
    </row>
    <row r="55" spans="1:25" ht="12.75" customHeight="1">
      <c r="A55" s="327" t="s">
        <v>197</v>
      </c>
      <c r="B55" s="119">
        <f>'Page 3-Assumptions'!$C$34*(E33+E34)</f>
        <v>1482.9</v>
      </c>
      <c r="C55" s="116">
        <v>0</v>
      </c>
      <c r="D55" s="116">
        <v>0</v>
      </c>
      <c r="E55" s="118">
        <f t="shared" si="2"/>
        <v>1482.9</v>
      </c>
      <c r="F55" s="4"/>
      <c r="G55" s="4"/>
      <c r="H55" s="4"/>
      <c r="I55" s="4"/>
      <c r="J55" s="4"/>
      <c r="K55" s="4"/>
      <c r="L55" s="4"/>
      <c r="M55" s="4"/>
      <c r="N55" s="4"/>
      <c r="O55" s="4"/>
      <c r="P55" s="4"/>
      <c r="Q55" s="4"/>
      <c r="R55" s="4"/>
      <c r="S55" s="4"/>
      <c r="T55" s="4"/>
      <c r="U55" s="4"/>
      <c r="V55" s="4"/>
      <c r="W55" s="4"/>
      <c r="X55" s="4"/>
      <c r="Y55" s="4"/>
    </row>
    <row r="56" spans="1:25" ht="12.75" customHeight="1">
      <c r="A56" s="327" t="s">
        <v>198</v>
      </c>
      <c r="B56" s="119">
        <f>((E33+E34)/100)*2</f>
        <v>9886</v>
      </c>
      <c r="C56" s="116">
        <v>0</v>
      </c>
      <c r="D56" s="116">
        <v>0</v>
      </c>
      <c r="E56" s="118">
        <f t="shared" si="2"/>
        <v>9886</v>
      </c>
      <c r="F56" s="4"/>
      <c r="G56" s="4"/>
      <c r="H56" s="4"/>
      <c r="I56" s="4"/>
      <c r="J56" s="4"/>
      <c r="K56" s="4"/>
      <c r="L56" s="4"/>
      <c r="M56" s="4"/>
      <c r="N56" s="4"/>
      <c r="O56" s="4"/>
      <c r="P56" s="4"/>
      <c r="Q56" s="4"/>
      <c r="R56" s="4"/>
      <c r="S56" s="4"/>
      <c r="T56" s="4"/>
      <c r="U56" s="4"/>
      <c r="V56" s="4"/>
      <c r="W56" s="4"/>
      <c r="X56" s="4"/>
      <c r="Y56" s="4"/>
    </row>
    <row r="57" spans="1:25" ht="12.75" customHeight="1">
      <c r="A57" s="327" t="s">
        <v>199</v>
      </c>
      <c r="B57" s="117"/>
      <c r="C57" s="116">
        <v>0</v>
      </c>
      <c r="D57" s="116">
        <v>0</v>
      </c>
      <c r="E57" s="118">
        <f t="shared" si="2"/>
        <v>0</v>
      </c>
      <c r="F57" s="4"/>
      <c r="G57" s="4"/>
      <c r="H57" s="4"/>
      <c r="I57" s="4"/>
      <c r="J57" s="4"/>
      <c r="K57" s="4"/>
      <c r="L57" s="4"/>
      <c r="M57" s="4"/>
      <c r="N57" s="4"/>
      <c r="O57" s="4"/>
      <c r="P57" s="4"/>
      <c r="Q57" s="4"/>
      <c r="R57" s="4"/>
      <c r="S57" s="4"/>
      <c r="T57" s="4"/>
      <c r="U57" s="4"/>
      <c r="V57" s="4"/>
      <c r="W57" s="4"/>
      <c r="X57" s="4"/>
      <c r="Y57" s="4"/>
    </row>
    <row r="58" spans="1:25" ht="12.75" customHeight="1">
      <c r="A58" s="141" t="s">
        <v>200</v>
      </c>
      <c r="B58" s="128">
        <v>19000</v>
      </c>
      <c r="C58" s="116">
        <v>0</v>
      </c>
      <c r="D58" s="116">
        <v>0</v>
      </c>
      <c r="E58" s="118">
        <f t="shared" si="2"/>
        <v>19000</v>
      </c>
      <c r="F58" s="4"/>
      <c r="G58" s="4"/>
      <c r="H58" s="4"/>
      <c r="I58" s="4"/>
      <c r="J58" s="4"/>
      <c r="K58" s="4"/>
      <c r="L58" s="4"/>
      <c r="M58" s="4"/>
      <c r="N58" s="4"/>
      <c r="O58" s="4"/>
      <c r="P58" s="4"/>
      <c r="Q58" s="4"/>
      <c r="R58" s="4"/>
      <c r="S58" s="4"/>
      <c r="T58" s="4"/>
      <c r="U58" s="4"/>
      <c r="V58" s="4"/>
      <c r="W58" s="4"/>
      <c r="X58" s="4"/>
      <c r="Y58" s="4"/>
    </row>
    <row r="59" spans="1:25" ht="12.75" customHeight="1">
      <c r="A59" s="327" t="s">
        <v>201</v>
      </c>
      <c r="B59" s="119">
        <v>4000</v>
      </c>
      <c r="C59" s="116">
        <v>0</v>
      </c>
      <c r="D59" s="116">
        <f>'Support-CDE start-up grant'!C13</f>
        <v>0</v>
      </c>
      <c r="E59" s="118">
        <f t="shared" si="2"/>
        <v>4000</v>
      </c>
      <c r="F59" s="4"/>
      <c r="G59" s="4"/>
      <c r="H59" s="4"/>
      <c r="I59" s="4"/>
      <c r="J59" s="4"/>
      <c r="K59" s="4"/>
      <c r="L59" s="4"/>
      <c r="M59" s="4"/>
      <c r="N59" s="4"/>
      <c r="O59" s="4"/>
      <c r="P59" s="4"/>
      <c r="Q59" s="4"/>
      <c r="R59" s="4"/>
      <c r="S59" s="4"/>
      <c r="T59" s="4"/>
      <c r="U59" s="4"/>
      <c r="V59" s="4"/>
      <c r="W59" s="4"/>
      <c r="X59" s="4"/>
      <c r="Y59" s="4"/>
    </row>
    <row r="60" spans="1:25" ht="12.75" customHeight="1">
      <c r="A60" s="141" t="s">
        <v>202</v>
      </c>
      <c r="B60" s="119">
        <f>'Page 2-Staffing Plan'!C37*'Page 3-Assumptions'!$B$44*0</f>
        <v>0</v>
      </c>
      <c r="C60" s="116">
        <v>0</v>
      </c>
      <c r="D60" s="341">
        <f>'Support-CDE start-up grant'!C14</f>
        <v>0</v>
      </c>
      <c r="E60" s="118">
        <f t="shared" si="2"/>
        <v>0</v>
      </c>
      <c r="F60" s="4"/>
      <c r="G60" s="4"/>
      <c r="H60" s="4"/>
      <c r="I60" s="4"/>
      <c r="J60" s="4"/>
      <c r="K60" s="4"/>
      <c r="L60" s="4"/>
      <c r="M60" s="4"/>
      <c r="N60" s="4"/>
      <c r="O60" s="4"/>
      <c r="P60" s="4"/>
      <c r="Q60" s="4"/>
      <c r="R60" s="4"/>
      <c r="S60" s="4"/>
      <c r="T60" s="4"/>
      <c r="U60" s="4"/>
      <c r="V60" s="4"/>
      <c r="W60" s="4"/>
      <c r="X60" s="4"/>
      <c r="Y60" s="4"/>
    </row>
    <row r="61" spans="1:25" ht="12.75" customHeight="1">
      <c r="A61" s="327" t="s">
        <v>203</v>
      </c>
      <c r="B61" s="119">
        <f>B28*'Page 3-Assumptions'!C29</f>
        <v>16678.283399999997</v>
      </c>
      <c r="C61" s="116">
        <v>0</v>
      </c>
      <c r="D61" s="116">
        <v>0</v>
      </c>
      <c r="E61" s="118">
        <f t="shared" si="2"/>
        <v>16678.283399999997</v>
      </c>
      <c r="F61" s="4"/>
      <c r="G61" s="4"/>
      <c r="H61" s="4"/>
      <c r="I61" s="4"/>
      <c r="J61" s="4"/>
      <c r="K61" s="4"/>
      <c r="L61" s="4"/>
      <c r="M61" s="4"/>
      <c r="N61" s="4"/>
      <c r="O61" s="4"/>
      <c r="P61" s="4"/>
      <c r="Q61" s="4"/>
      <c r="R61" s="4"/>
      <c r="S61" s="4"/>
      <c r="T61" s="4"/>
      <c r="U61" s="4"/>
      <c r="V61" s="4"/>
      <c r="W61" s="4"/>
      <c r="X61" s="4"/>
      <c r="Y61" s="4"/>
    </row>
    <row r="62" spans="1:25" ht="12.95">
      <c r="A62" s="141" t="s">
        <v>204</v>
      </c>
      <c r="B62" s="119">
        <f>B28*'Page 3-Assumptions'!C30</f>
        <v>5559.4277999999995</v>
      </c>
      <c r="C62" s="116">
        <v>0</v>
      </c>
      <c r="D62" s="116">
        <v>0</v>
      </c>
      <c r="E62" s="118">
        <f t="shared" si="2"/>
        <v>5559.4277999999995</v>
      </c>
      <c r="F62" s="4" t="s">
        <v>0</v>
      </c>
      <c r="G62" s="4"/>
      <c r="H62" s="4"/>
      <c r="I62" s="4"/>
      <c r="J62" s="4"/>
      <c r="K62" s="4"/>
      <c r="L62" s="4"/>
      <c r="M62" s="4"/>
      <c r="N62" s="4"/>
      <c r="O62" s="4"/>
      <c r="P62" s="4"/>
      <c r="Q62" s="4"/>
      <c r="R62" s="4"/>
      <c r="S62" s="4"/>
      <c r="T62" s="4"/>
      <c r="U62" s="4"/>
      <c r="V62" s="4"/>
      <c r="W62" s="4"/>
      <c r="X62" s="4"/>
      <c r="Y62" s="4"/>
    </row>
    <row r="63" spans="1:25" ht="26.25" customHeight="1">
      <c r="A63" s="141" t="s">
        <v>205</v>
      </c>
      <c r="B63" s="119">
        <v>5000</v>
      </c>
      <c r="C63" s="116">
        <v>0</v>
      </c>
      <c r="D63" s="116">
        <v>0</v>
      </c>
      <c r="E63" s="118">
        <f t="shared" si="2"/>
        <v>5000</v>
      </c>
      <c r="F63" s="4"/>
      <c r="G63" s="4"/>
      <c r="H63" s="4"/>
      <c r="I63" s="4"/>
      <c r="J63" s="4"/>
      <c r="K63" s="4"/>
      <c r="L63" s="4"/>
      <c r="M63" s="4"/>
      <c r="N63" s="4"/>
      <c r="O63" s="4"/>
      <c r="P63" s="4"/>
      <c r="Q63" s="4"/>
      <c r="R63" s="4"/>
      <c r="S63" s="4"/>
      <c r="T63" s="4"/>
      <c r="U63" s="4"/>
      <c r="V63" s="4"/>
      <c r="W63" s="4"/>
      <c r="X63" s="4"/>
      <c r="Y63" s="4"/>
    </row>
    <row r="64" spans="1:25" ht="12.75" customHeight="1">
      <c r="A64" s="141" t="s">
        <v>206</v>
      </c>
      <c r="B64" s="119">
        <v>1500</v>
      </c>
      <c r="C64" s="116">
        <v>0</v>
      </c>
      <c r="D64" s="116">
        <v>0</v>
      </c>
      <c r="E64" s="118">
        <f t="shared" si="2"/>
        <v>1500</v>
      </c>
      <c r="F64" s="4"/>
      <c r="G64" s="4"/>
      <c r="H64" s="4"/>
      <c r="I64" s="4"/>
      <c r="J64" s="4"/>
      <c r="K64" s="4"/>
      <c r="L64" s="4"/>
      <c r="M64" s="4"/>
      <c r="N64" s="4"/>
      <c r="O64" s="4"/>
      <c r="P64" s="4"/>
      <c r="Q64" s="4"/>
      <c r="R64" s="4"/>
      <c r="S64" s="4"/>
      <c r="T64" s="4"/>
      <c r="U64" s="4"/>
      <c r="V64" s="4"/>
      <c r="W64" s="4"/>
      <c r="X64" s="4"/>
      <c r="Y64" s="4"/>
    </row>
    <row r="65" spans="1:25" ht="12.75" customHeight="1">
      <c r="A65" s="141" t="s">
        <v>207</v>
      </c>
      <c r="B65" s="119">
        <f>2000*1.02</f>
        <v>2040</v>
      </c>
      <c r="C65" s="116">
        <v>0</v>
      </c>
      <c r="D65" s="116">
        <v>0</v>
      </c>
      <c r="E65" s="118">
        <f t="shared" si="2"/>
        <v>2040</v>
      </c>
      <c r="F65" s="4"/>
      <c r="G65" s="4"/>
      <c r="H65" s="4"/>
      <c r="I65" s="4"/>
      <c r="J65" s="4"/>
      <c r="K65" s="4"/>
      <c r="L65" s="4"/>
      <c r="M65" s="4"/>
      <c r="N65" s="4"/>
      <c r="O65" s="4"/>
      <c r="P65" s="4"/>
      <c r="Q65" s="4"/>
      <c r="R65" s="4"/>
      <c r="S65" s="4"/>
      <c r="T65" s="4"/>
      <c r="U65" s="4"/>
      <c r="V65" s="4"/>
      <c r="W65" s="4"/>
      <c r="X65" s="4"/>
      <c r="Y65" s="4"/>
    </row>
    <row r="66" spans="1:25" ht="12.75" customHeight="1">
      <c r="A66" s="141" t="s">
        <v>208</v>
      </c>
      <c r="B66" s="117"/>
      <c r="C66" s="116">
        <v>0</v>
      </c>
      <c r="D66" s="116">
        <f>'Support-CDE start-up grant'!C15</f>
        <v>0</v>
      </c>
      <c r="E66" s="118">
        <f t="shared" si="2"/>
        <v>0</v>
      </c>
      <c r="F66" s="4"/>
      <c r="G66" s="4"/>
      <c r="H66" s="4"/>
      <c r="I66" s="4"/>
      <c r="J66" s="4"/>
      <c r="K66" s="4"/>
      <c r="L66" s="4"/>
      <c r="M66" s="4"/>
      <c r="N66" s="4"/>
      <c r="O66" s="4"/>
      <c r="P66" s="4"/>
      <c r="Q66" s="4"/>
      <c r="R66" s="4"/>
      <c r="S66" s="4"/>
      <c r="T66" s="4"/>
      <c r="U66" s="4"/>
      <c r="V66" s="4"/>
      <c r="W66" s="4"/>
      <c r="X66" s="4"/>
      <c r="Y66" s="4"/>
    </row>
    <row r="67" spans="1:25" ht="12.75" customHeight="1">
      <c r="A67" s="141" t="s">
        <v>209</v>
      </c>
      <c r="B67" s="117"/>
      <c r="C67" s="116">
        <v>0</v>
      </c>
      <c r="D67" s="116">
        <v>0</v>
      </c>
      <c r="E67" s="118">
        <f t="shared" si="2"/>
        <v>0</v>
      </c>
      <c r="F67" s="4"/>
      <c r="G67" s="4"/>
      <c r="H67" s="4"/>
      <c r="I67" s="4"/>
      <c r="J67" s="4"/>
      <c r="K67" s="4"/>
      <c r="L67" s="4"/>
      <c r="M67" s="4"/>
      <c r="N67" s="4"/>
      <c r="O67" s="4"/>
      <c r="P67" s="4"/>
      <c r="Q67" s="4"/>
      <c r="R67" s="4"/>
      <c r="S67" s="4"/>
      <c r="T67" s="4"/>
      <c r="U67" s="4"/>
      <c r="V67" s="4"/>
      <c r="W67" s="4"/>
      <c r="X67" s="4"/>
      <c r="Y67" s="4"/>
    </row>
    <row r="68" spans="1:25" ht="12.75" customHeight="1">
      <c r="A68" s="141" t="s">
        <v>210</v>
      </c>
      <c r="B68" s="127">
        <v>5000</v>
      </c>
      <c r="C68" s="116">
        <v>0</v>
      </c>
      <c r="D68" s="116">
        <v>0</v>
      </c>
      <c r="E68" s="118">
        <f t="shared" si="2"/>
        <v>5000</v>
      </c>
      <c r="F68" s="4"/>
      <c r="G68" s="4"/>
      <c r="H68" s="4"/>
      <c r="I68" s="4"/>
      <c r="J68" s="4"/>
      <c r="K68" s="4"/>
      <c r="L68" s="4"/>
      <c r="M68" s="4"/>
      <c r="N68" s="4"/>
      <c r="O68" s="4"/>
      <c r="P68" s="4"/>
      <c r="Q68" s="4"/>
      <c r="R68" s="4"/>
      <c r="S68" s="4"/>
      <c r="T68" s="4"/>
      <c r="U68" s="4"/>
      <c r="V68" s="4"/>
      <c r="W68" s="4"/>
      <c r="X68" s="4"/>
      <c r="Y68" s="4"/>
    </row>
    <row r="69" spans="1:25" ht="12.75" customHeight="1">
      <c r="A69" s="141" t="s">
        <v>211</v>
      </c>
      <c r="B69" s="117"/>
      <c r="C69" s="116">
        <v>0</v>
      </c>
      <c r="D69" s="116">
        <f>'Support-CDE start-up grant'!C16+'Support-CDE start-up grant'!C17+'Support-CDE start-up grant'!C18</f>
        <v>0</v>
      </c>
      <c r="E69" s="118">
        <f t="shared" si="2"/>
        <v>0</v>
      </c>
      <c r="F69" s="4"/>
      <c r="G69" s="4"/>
      <c r="H69" s="4"/>
      <c r="I69" s="4"/>
      <c r="J69" s="4"/>
      <c r="K69" s="4"/>
      <c r="L69" s="4"/>
      <c r="M69" s="4"/>
      <c r="N69" s="4"/>
      <c r="O69" s="4"/>
      <c r="P69" s="4"/>
      <c r="Q69" s="4"/>
      <c r="R69" s="4"/>
      <c r="S69" s="4"/>
      <c r="T69" s="4"/>
      <c r="U69" s="4"/>
      <c r="V69" s="4"/>
      <c r="W69" s="4"/>
      <c r="X69" s="4"/>
      <c r="Y69" s="4"/>
    </row>
    <row r="70" spans="1:25" ht="12.75" customHeight="1">
      <c r="A70" s="141" t="s">
        <v>212</v>
      </c>
      <c r="B70" s="117">
        <f>5000*0</f>
        <v>0</v>
      </c>
      <c r="C70" s="116">
        <v>0</v>
      </c>
      <c r="D70" s="116">
        <f>'Support-CDE start-up grant'!C19+'Support-CDE start-up grant'!C20+'Support-CDE start-up grant'!C21</f>
        <v>0</v>
      </c>
      <c r="E70" s="118">
        <f t="shared" si="2"/>
        <v>0</v>
      </c>
      <c r="F70" s="4"/>
      <c r="G70" s="4"/>
      <c r="H70" s="4"/>
      <c r="I70" s="4"/>
      <c r="J70" s="4"/>
      <c r="K70" s="4"/>
      <c r="L70" s="4"/>
      <c r="M70" s="4"/>
      <c r="N70" s="4"/>
      <c r="O70" s="4"/>
      <c r="P70" s="4"/>
      <c r="Q70" s="4"/>
      <c r="R70" s="4"/>
      <c r="S70" s="4"/>
      <c r="T70" s="4"/>
      <c r="U70" s="4"/>
      <c r="V70" s="4"/>
      <c r="W70" s="4"/>
      <c r="X70" s="4"/>
      <c r="Y70" s="4"/>
    </row>
    <row r="71" spans="1:25" ht="12.75" customHeight="1">
      <c r="A71" s="141" t="s">
        <v>213</v>
      </c>
      <c r="B71" s="119">
        <v>2000</v>
      </c>
      <c r="C71" s="116">
        <v>0</v>
      </c>
      <c r="D71" s="116">
        <v>0</v>
      </c>
      <c r="E71" s="118">
        <f t="shared" si="2"/>
        <v>2000</v>
      </c>
      <c r="F71" s="4"/>
      <c r="G71" s="4"/>
      <c r="H71" s="4"/>
      <c r="I71" s="4"/>
      <c r="J71" s="4"/>
      <c r="K71" s="4"/>
      <c r="L71" s="4"/>
      <c r="M71" s="4"/>
      <c r="N71" s="4"/>
      <c r="O71" s="4"/>
      <c r="P71" s="4"/>
      <c r="Q71" s="4"/>
      <c r="R71" s="4"/>
      <c r="S71" s="4"/>
      <c r="T71" s="4"/>
      <c r="U71" s="4"/>
      <c r="V71" s="4"/>
      <c r="W71" s="4"/>
      <c r="X71" s="4"/>
      <c r="Y71" s="4"/>
    </row>
    <row r="72" spans="1:25" ht="12.75" customHeight="1">
      <c r="A72" s="141" t="s">
        <v>214</v>
      </c>
      <c r="B72" s="127">
        <v>5000</v>
      </c>
      <c r="C72" s="116">
        <v>0</v>
      </c>
      <c r="D72" s="116">
        <v>0</v>
      </c>
      <c r="E72" s="118">
        <f t="shared" si="2"/>
        <v>5000</v>
      </c>
      <c r="F72" s="4"/>
      <c r="G72" s="4"/>
      <c r="H72" s="4"/>
      <c r="I72" s="4"/>
      <c r="J72" s="4"/>
      <c r="K72" s="4"/>
      <c r="L72" s="4"/>
      <c r="M72" s="4"/>
      <c r="N72" s="4"/>
      <c r="O72" s="4"/>
      <c r="P72" s="4"/>
      <c r="Q72" s="4"/>
      <c r="R72" s="4"/>
      <c r="S72" s="4"/>
      <c r="T72" s="4"/>
      <c r="U72" s="4"/>
      <c r="V72" s="4"/>
      <c r="W72" s="4"/>
      <c r="X72" s="4"/>
      <c r="Y72" s="4"/>
    </row>
    <row r="73" spans="1:25" ht="12.75" customHeight="1">
      <c r="A73" s="340" t="s">
        <v>215</v>
      </c>
      <c r="B73" s="119">
        <f>(('Page 3-Assumptions'!$B$56*'Page 1-Enrollment Plan'!B21))</f>
        <v>0</v>
      </c>
      <c r="C73" s="116">
        <v>0</v>
      </c>
      <c r="D73" s="116">
        <v>0</v>
      </c>
      <c r="E73" s="118">
        <f t="shared" si="2"/>
        <v>0</v>
      </c>
      <c r="F73" s="4"/>
      <c r="G73" s="4"/>
      <c r="H73" s="4"/>
      <c r="I73" s="4"/>
      <c r="J73" s="4"/>
      <c r="K73" s="4"/>
      <c r="L73" s="4"/>
      <c r="M73" s="4"/>
      <c r="N73" s="4"/>
      <c r="O73" s="4"/>
      <c r="P73" s="4"/>
      <c r="Q73" s="4"/>
      <c r="R73" s="4"/>
      <c r="S73" s="4"/>
      <c r="T73" s="4"/>
      <c r="U73" s="4"/>
      <c r="V73" s="4"/>
      <c r="W73" s="4"/>
      <c r="X73" s="4"/>
      <c r="Y73" s="4"/>
    </row>
    <row r="74" spans="1:25" ht="12.75" customHeight="1">
      <c r="A74" s="141" t="s">
        <v>234</v>
      </c>
      <c r="B74" s="119">
        <f>0.02*B30</f>
        <v>19575.030079999997</v>
      </c>
      <c r="C74" s="333">
        <v>0</v>
      </c>
      <c r="D74" s="333"/>
      <c r="E74" s="118">
        <v>9608</v>
      </c>
      <c r="F74" s="4"/>
      <c r="G74" s="4"/>
      <c r="H74" s="4"/>
      <c r="I74" s="4"/>
      <c r="J74" s="4"/>
      <c r="K74" s="4"/>
      <c r="L74" s="4"/>
      <c r="M74" s="4"/>
      <c r="N74" s="4"/>
      <c r="O74" s="4"/>
      <c r="P74" s="4"/>
      <c r="Q74" s="4"/>
      <c r="R74" s="4"/>
      <c r="S74" s="4"/>
      <c r="T74" s="4"/>
      <c r="U74" s="4"/>
      <c r="V74" s="4"/>
      <c r="W74" s="4"/>
      <c r="X74" s="4"/>
      <c r="Y74" s="4"/>
    </row>
    <row r="75" spans="1:25" ht="12.75" customHeight="1">
      <c r="A75" s="141" t="s">
        <v>235</v>
      </c>
      <c r="B75" s="119">
        <v>6600</v>
      </c>
      <c r="C75" s="116"/>
      <c r="D75" s="116"/>
      <c r="E75" s="118">
        <f t="shared" ref="E75:E76" si="3">SUM(B75:D75)</f>
        <v>6600</v>
      </c>
      <c r="F75" s="4"/>
      <c r="G75" s="4"/>
      <c r="H75" s="4"/>
      <c r="I75" s="4"/>
      <c r="J75" s="4"/>
      <c r="K75" s="4"/>
      <c r="L75" s="4"/>
      <c r="M75" s="4"/>
      <c r="N75" s="4"/>
      <c r="O75" s="4"/>
      <c r="P75" s="4"/>
      <c r="Q75" s="4"/>
      <c r="R75" s="4"/>
      <c r="S75" s="4"/>
      <c r="T75" s="4"/>
      <c r="U75" s="4"/>
      <c r="V75" s="4"/>
      <c r="W75" s="4"/>
      <c r="X75" s="4"/>
      <c r="Y75" s="4"/>
    </row>
    <row r="76" spans="1:25" ht="12.75" customHeight="1">
      <c r="A76" s="141" t="s">
        <v>236</v>
      </c>
      <c r="B76" s="119"/>
      <c r="C76" s="116"/>
      <c r="D76" s="116"/>
      <c r="E76" s="118">
        <f t="shared" si="3"/>
        <v>0</v>
      </c>
      <c r="F76" s="4"/>
      <c r="G76" s="4"/>
      <c r="H76" s="4"/>
      <c r="I76" s="4"/>
      <c r="J76" s="4"/>
      <c r="K76" s="4"/>
      <c r="L76" s="4"/>
      <c r="M76" s="4"/>
      <c r="N76" s="4"/>
      <c r="O76" s="4"/>
      <c r="P76" s="4"/>
      <c r="Q76" s="4"/>
      <c r="R76" s="4"/>
      <c r="S76" s="4"/>
      <c r="T76" s="4"/>
      <c r="U76" s="4"/>
      <c r="V76" s="4"/>
      <c r="W76" s="4"/>
      <c r="X76" s="4"/>
      <c r="Y76" s="4"/>
    </row>
    <row r="77" spans="1:25" ht="12.75" customHeight="1">
      <c r="A77" s="122" t="s">
        <v>217</v>
      </c>
      <c r="B77" s="123">
        <f>SUM(B33:B76)</f>
        <v>951115.2112799997</v>
      </c>
      <c r="C77" s="123">
        <f t="shared" ref="C77:E77" si="4">SUM(C33:C74)</f>
        <v>24628</v>
      </c>
      <c r="D77" s="123">
        <f t="shared" si="4"/>
        <v>0</v>
      </c>
      <c r="E77" s="123">
        <f t="shared" si="4"/>
        <v>959176.18119999976</v>
      </c>
      <c r="F77" s="4"/>
      <c r="G77" s="4"/>
      <c r="H77" s="4"/>
      <c r="I77" s="4"/>
      <c r="J77" s="4"/>
      <c r="K77" s="4"/>
      <c r="L77" s="4"/>
      <c r="M77" s="4"/>
      <c r="N77" s="4"/>
      <c r="O77" s="4"/>
      <c r="P77" s="4"/>
      <c r="Q77" s="4"/>
      <c r="R77" s="4"/>
      <c r="S77" s="4"/>
      <c r="T77" s="4"/>
      <c r="U77" s="4"/>
      <c r="V77" s="4"/>
      <c r="W77" s="4"/>
      <c r="X77" s="4"/>
      <c r="Y77" s="4"/>
    </row>
    <row r="78" spans="1:25" ht="12.75" customHeight="1">
      <c r="A78" s="342"/>
      <c r="B78" s="329"/>
      <c r="C78" s="329"/>
      <c r="D78" s="329"/>
      <c r="E78" s="330"/>
      <c r="F78" s="4"/>
      <c r="G78" s="4"/>
      <c r="H78" s="4"/>
      <c r="I78" s="4"/>
      <c r="J78" s="4"/>
      <c r="K78" s="4"/>
      <c r="L78" s="4"/>
      <c r="M78" s="4"/>
      <c r="N78" s="4"/>
      <c r="O78" s="4"/>
      <c r="P78" s="4"/>
      <c r="Q78" s="4"/>
      <c r="R78" s="4"/>
      <c r="S78" s="4"/>
      <c r="T78" s="4"/>
      <c r="U78" s="4"/>
      <c r="V78" s="4"/>
      <c r="W78" s="4"/>
      <c r="X78" s="4"/>
      <c r="Y78" s="4"/>
    </row>
    <row r="79" spans="1:25" ht="12.75" customHeight="1">
      <c r="A79" s="130" t="s">
        <v>218</v>
      </c>
      <c r="B79" s="123">
        <f t="shared" ref="B79:D79" si="5">B30-B77</f>
        <v>27636.292720000143</v>
      </c>
      <c r="C79" s="123">
        <f t="shared" si="5"/>
        <v>1500</v>
      </c>
      <c r="D79" s="123">
        <f t="shared" si="5"/>
        <v>0</v>
      </c>
      <c r="E79" s="123">
        <f>SUM(B79:D79)</f>
        <v>29136.292720000143</v>
      </c>
      <c r="F79" s="4"/>
      <c r="G79" s="4"/>
      <c r="H79" s="4"/>
      <c r="I79" s="4"/>
      <c r="J79" s="4"/>
      <c r="K79" s="4"/>
      <c r="L79" s="4"/>
      <c r="M79" s="4"/>
      <c r="N79" s="4"/>
      <c r="O79" s="4"/>
      <c r="P79" s="4"/>
      <c r="Q79" s="4"/>
      <c r="R79" s="4"/>
      <c r="S79" s="4"/>
      <c r="T79" s="4"/>
      <c r="U79" s="4"/>
      <c r="V79" s="4"/>
      <c r="W79" s="4"/>
      <c r="X79" s="4"/>
      <c r="Y79" s="4"/>
    </row>
    <row r="80" spans="1:25" ht="12.75" customHeight="1">
      <c r="A80" s="335"/>
      <c r="B80" s="329"/>
      <c r="C80" s="329"/>
      <c r="D80" s="133"/>
      <c r="E80" s="330"/>
      <c r="F80" s="4"/>
      <c r="G80" s="4"/>
      <c r="H80" s="4"/>
      <c r="I80" s="4"/>
      <c r="J80" s="4"/>
      <c r="K80" s="4"/>
      <c r="L80" s="4"/>
      <c r="M80" s="4"/>
      <c r="N80" s="4"/>
      <c r="O80" s="4"/>
      <c r="P80" s="4"/>
      <c r="Q80" s="4"/>
      <c r="R80" s="4"/>
      <c r="S80" s="4"/>
      <c r="T80" s="4"/>
      <c r="U80" s="4"/>
      <c r="V80" s="4"/>
      <c r="W80" s="4"/>
      <c r="X80" s="4"/>
      <c r="Y80" s="4"/>
    </row>
    <row r="81" spans="1:25" ht="12.75" customHeight="1">
      <c r="A81" s="336" t="s">
        <v>219</v>
      </c>
      <c r="B81" s="329"/>
      <c r="C81" s="329"/>
      <c r="D81" s="329"/>
      <c r="E81" s="118">
        <f>SUM(B81:D81)</f>
        <v>0</v>
      </c>
      <c r="F81" s="4"/>
      <c r="G81" s="4"/>
      <c r="H81" s="4"/>
      <c r="I81" s="4"/>
      <c r="J81" s="4"/>
      <c r="K81" s="4"/>
      <c r="L81" s="4"/>
      <c r="M81" s="4"/>
      <c r="N81" s="4"/>
      <c r="O81" s="4"/>
      <c r="P81" s="4"/>
      <c r="Q81" s="4"/>
      <c r="R81" s="4"/>
      <c r="S81" s="4"/>
      <c r="T81" s="4"/>
      <c r="U81" s="4"/>
      <c r="V81" s="4"/>
      <c r="W81" s="4"/>
      <c r="X81" s="4"/>
      <c r="Y81" s="4"/>
    </row>
    <row r="82" spans="1:25" ht="12.75" customHeight="1">
      <c r="A82" s="327"/>
      <c r="B82" s="329"/>
      <c r="C82" s="329"/>
      <c r="D82" s="329"/>
      <c r="E82" s="330"/>
      <c r="F82" s="4"/>
      <c r="G82" s="4"/>
      <c r="H82" s="4"/>
      <c r="I82" s="4"/>
      <c r="J82" s="4"/>
      <c r="K82" s="4"/>
      <c r="L82" s="4"/>
      <c r="M82" s="4"/>
      <c r="N82" s="4"/>
      <c r="O82" s="4"/>
      <c r="P82" s="4"/>
      <c r="Q82" s="4"/>
      <c r="R82" s="4"/>
      <c r="S82" s="4"/>
      <c r="T82" s="4"/>
      <c r="U82" s="4"/>
      <c r="V82" s="4"/>
      <c r="W82" s="4"/>
      <c r="X82" s="4"/>
      <c r="Y82" s="4"/>
    </row>
    <row r="83" spans="1:25" ht="12.75" customHeight="1">
      <c r="A83" s="335"/>
      <c r="B83" s="329"/>
      <c r="C83" s="329"/>
      <c r="D83" s="329"/>
      <c r="E83" s="330"/>
      <c r="F83" s="4"/>
      <c r="G83" s="4"/>
      <c r="H83" s="4"/>
      <c r="I83" s="4"/>
      <c r="J83" s="4"/>
      <c r="K83" s="4"/>
      <c r="L83" s="4"/>
      <c r="M83" s="4"/>
      <c r="N83" s="4"/>
      <c r="O83" s="4"/>
      <c r="P83" s="4"/>
      <c r="Q83" s="4"/>
      <c r="R83" s="4"/>
      <c r="S83" s="4"/>
      <c r="T83" s="4"/>
      <c r="U83" s="4"/>
      <c r="V83" s="4"/>
      <c r="W83" s="4"/>
      <c r="X83" s="4"/>
      <c r="Y83" s="4"/>
    </row>
    <row r="84" spans="1:25" ht="12.75" customHeight="1">
      <c r="A84" s="122" t="s">
        <v>220</v>
      </c>
      <c r="B84" s="152">
        <f t="shared" ref="B84:D84" si="6">SUM(B79:B83)</f>
        <v>27636.292720000143</v>
      </c>
      <c r="C84" s="152">
        <f t="shared" si="6"/>
        <v>1500</v>
      </c>
      <c r="D84" s="152">
        <f t="shared" si="6"/>
        <v>0</v>
      </c>
      <c r="E84" s="152">
        <f>E79+E81</f>
        <v>29136.292720000143</v>
      </c>
      <c r="F84" s="4"/>
      <c r="G84" s="4"/>
      <c r="H84" s="4"/>
      <c r="I84" s="4"/>
      <c r="J84" s="4"/>
      <c r="K84" s="4"/>
      <c r="L84" s="4"/>
      <c r="M84" s="4"/>
      <c r="N84" s="4"/>
      <c r="O84" s="4"/>
      <c r="P84" s="4"/>
      <c r="Q84" s="4"/>
      <c r="R84" s="4"/>
      <c r="S84" s="4"/>
      <c r="T84" s="4"/>
      <c r="U84" s="4"/>
      <c r="V84" s="4"/>
      <c r="W84" s="4"/>
      <c r="X84" s="4"/>
      <c r="Y84" s="4"/>
    </row>
    <row r="85" spans="1:25" ht="12.75" customHeight="1">
      <c r="A85" s="343"/>
      <c r="B85" s="344"/>
      <c r="C85" s="344"/>
      <c r="D85" s="344"/>
      <c r="E85" s="153"/>
      <c r="F85" s="4"/>
      <c r="G85" s="4"/>
      <c r="H85" s="4"/>
      <c r="I85" s="4"/>
      <c r="J85" s="4"/>
      <c r="K85" s="4"/>
      <c r="L85" s="4"/>
      <c r="M85" s="4"/>
      <c r="N85" s="4"/>
      <c r="O85" s="4"/>
      <c r="P85" s="4"/>
      <c r="Q85" s="4"/>
      <c r="R85" s="4"/>
      <c r="S85" s="4"/>
      <c r="T85" s="4"/>
      <c r="U85" s="4"/>
      <c r="V85" s="4"/>
      <c r="W85" s="4"/>
      <c r="X85" s="4"/>
      <c r="Y85" s="4"/>
    </row>
    <row r="86" spans="1:25" ht="12.75" customHeight="1">
      <c r="A86" s="264" t="s">
        <v>221</v>
      </c>
      <c r="B86" s="258"/>
      <c r="C86" s="258"/>
      <c r="D86" s="258"/>
      <c r="E86" s="132">
        <f>'Page 4-Year 0'!D86</f>
        <v>10111.375</v>
      </c>
      <c r="F86" s="4"/>
      <c r="G86" s="4"/>
      <c r="H86" s="4"/>
      <c r="I86" s="4"/>
      <c r="J86" s="4"/>
      <c r="K86" s="4"/>
      <c r="L86" s="4"/>
      <c r="M86" s="4"/>
      <c r="N86" s="4"/>
      <c r="O86" s="4"/>
      <c r="P86" s="4"/>
      <c r="Q86" s="4"/>
      <c r="R86" s="4"/>
      <c r="S86" s="4"/>
      <c r="T86" s="4"/>
      <c r="U86" s="4"/>
      <c r="V86" s="4"/>
      <c r="W86" s="4"/>
      <c r="X86" s="4"/>
      <c r="Y86" s="4"/>
    </row>
    <row r="87" spans="1:25" ht="12.75" customHeight="1">
      <c r="A87" s="264" t="s">
        <v>222</v>
      </c>
      <c r="B87" s="258"/>
      <c r="C87" s="258"/>
      <c r="D87" s="258"/>
      <c r="E87" s="132">
        <f>E86+E84</f>
        <v>39247.667720000143</v>
      </c>
      <c r="F87" s="4"/>
      <c r="G87" s="4"/>
      <c r="H87" s="4"/>
      <c r="I87" s="4"/>
      <c r="J87" s="4"/>
      <c r="K87" s="4"/>
      <c r="L87" s="4"/>
      <c r="M87" s="4"/>
      <c r="N87" s="4"/>
      <c r="O87" s="4"/>
      <c r="P87" s="4"/>
      <c r="Q87" s="4"/>
      <c r="R87" s="4"/>
      <c r="S87" s="4"/>
      <c r="T87" s="4"/>
      <c r="U87" s="4"/>
      <c r="V87" s="4"/>
      <c r="W87" s="4"/>
      <c r="X87" s="4"/>
      <c r="Y87" s="4"/>
    </row>
    <row r="88" spans="1:25" ht="39" customHeight="1">
      <c r="A88" s="338" t="s">
        <v>223</v>
      </c>
      <c r="B88" s="258"/>
      <c r="C88" s="258"/>
      <c r="D88" s="258"/>
      <c r="E88" s="133">
        <f>B97</f>
        <v>35733.456338399992</v>
      </c>
      <c r="F88" s="4"/>
      <c r="G88" s="4"/>
      <c r="H88" s="4"/>
      <c r="I88" s="4"/>
      <c r="J88" s="4"/>
      <c r="K88" s="4"/>
      <c r="L88" s="4"/>
      <c r="M88" s="4"/>
      <c r="N88" s="4"/>
      <c r="O88" s="4"/>
      <c r="P88" s="4"/>
      <c r="Q88" s="4"/>
      <c r="R88" s="4"/>
      <c r="S88" s="4"/>
      <c r="T88" s="4"/>
      <c r="U88" s="4"/>
      <c r="V88" s="4"/>
      <c r="W88" s="4"/>
      <c r="X88" s="4"/>
      <c r="Y88" s="4"/>
    </row>
    <row r="89" spans="1:25" ht="12.75" customHeight="1">
      <c r="A89" s="338" t="s">
        <v>224</v>
      </c>
      <c r="B89" s="258"/>
      <c r="C89" s="258"/>
      <c r="D89" s="258"/>
      <c r="E89" s="133">
        <f>E87-E88</f>
        <v>3514.2113816001511</v>
      </c>
      <c r="F89" s="4"/>
      <c r="G89" s="4"/>
      <c r="H89" s="4"/>
      <c r="I89" s="4"/>
      <c r="J89" s="4"/>
      <c r="K89" s="4"/>
      <c r="L89" s="4"/>
      <c r="M89" s="4"/>
      <c r="N89" s="4"/>
      <c r="O89" s="4"/>
      <c r="P89" s="4"/>
      <c r="Q89" s="4"/>
      <c r="R89" s="4"/>
      <c r="S89" s="4"/>
      <c r="T89" s="4"/>
      <c r="U89" s="4"/>
      <c r="V89" s="4"/>
      <c r="W89" s="4"/>
      <c r="X89" s="4"/>
      <c r="Y89" s="4"/>
    </row>
    <row r="90" spans="1:25" ht="12.75" customHeight="1">
      <c r="A90" s="338" t="s">
        <v>225</v>
      </c>
      <c r="B90" s="258"/>
      <c r="C90" s="258"/>
      <c r="D90" s="258"/>
      <c r="E90" s="134">
        <f>E89/E77</f>
        <v>3.6637809095755639E-3</v>
      </c>
      <c r="F90" s="4"/>
      <c r="G90" s="4"/>
      <c r="H90" s="4"/>
      <c r="I90" s="4"/>
      <c r="J90" s="4"/>
      <c r="K90" s="4"/>
      <c r="L90" s="4"/>
      <c r="M90" s="4"/>
      <c r="N90" s="4"/>
      <c r="O90" s="4"/>
      <c r="P90" s="4"/>
      <c r="Q90" s="4"/>
      <c r="R90" s="4"/>
      <c r="S90" s="4"/>
      <c r="T90" s="4"/>
      <c r="U90" s="4"/>
      <c r="V90" s="4"/>
      <c r="W90" s="4"/>
      <c r="X90" s="4"/>
      <c r="Y90" s="4"/>
    </row>
    <row r="91" spans="1:25" ht="12.75" customHeight="1">
      <c r="A91" s="135"/>
      <c r="B91" s="259"/>
      <c r="C91" s="259"/>
      <c r="D91" s="259"/>
      <c r="E91" s="57"/>
      <c r="F91" s="4"/>
      <c r="G91" s="4"/>
      <c r="H91" s="4"/>
      <c r="I91" s="4"/>
      <c r="J91" s="4"/>
      <c r="K91" s="4"/>
      <c r="L91" s="4"/>
      <c r="M91" s="4"/>
      <c r="N91" s="4"/>
      <c r="O91" s="4"/>
      <c r="P91" s="4"/>
      <c r="Q91" s="4"/>
      <c r="R91" s="4"/>
      <c r="S91" s="4"/>
      <c r="T91" s="4"/>
      <c r="U91" s="4"/>
      <c r="V91" s="4"/>
      <c r="W91" s="4"/>
      <c r="X91" s="4"/>
      <c r="Y91" s="4"/>
    </row>
    <row r="92" spans="1:25" ht="12.75" customHeight="1"/>
    <row r="93" spans="1:25" ht="12.75" customHeight="1"/>
    <row r="94" spans="1:25" ht="12.75" customHeight="1">
      <c r="A94" s="339" t="s">
        <v>226</v>
      </c>
      <c r="B94" s="136">
        <f>100*'Page 1-Enrollment Plan'!B21</f>
        <v>7200</v>
      </c>
    </row>
    <row r="95" spans="1:25" ht="12.75" customHeight="1">
      <c r="A95" s="339" t="s">
        <v>227</v>
      </c>
      <c r="B95" s="136">
        <f>B77*0.03</f>
        <v>28533.456338399988</v>
      </c>
    </row>
    <row r="96" spans="1:25" ht="12.75" customHeight="1">
      <c r="A96" s="339" t="s">
        <v>228</v>
      </c>
      <c r="B96" s="136">
        <v>0</v>
      </c>
    </row>
    <row r="97" spans="1:2" ht="12.75" customHeight="1">
      <c r="A97" s="339" t="s">
        <v>229</v>
      </c>
      <c r="B97" s="136">
        <f>SUM(B94:B96)</f>
        <v>35733.456338399992</v>
      </c>
    </row>
    <row r="98" spans="1:2" ht="12.75" customHeight="1"/>
    <row r="99" spans="1:2" ht="12.75" customHeight="1"/>
    <row r="100" spans="1:2" ht="12.75" customHeight="1"/>
    <row r="101" spans="1:2" ht="12.75" customHeight="1"/>
    <row r="102" spans="1:2" ht="12.75" customHeight="1"/>
    <row r="103" spans="1:2" ht="12.75" customHeight="1"/>
    <row r="104" spans="1:2" ht="12.75" customHeight="1"/>
    <row r="105" spans="1:2" ht="12.75" customHeight="1"/>
    <row r="106" spans="1:2" ht="12.75" customHeight="1"/>
    <row r="107" spans="1:2" ht="12.75" customHeight="1"/>
    <row r="108" spans="1:2" ht="12.75" customHeight="1"/>
    <row r="109" spans="1:2" ht="12.75" customHeight="1"/>
    <row r="110" spans="1:2" ht="12.75" customHeight="1"/>
    <row r="111" spans="1:2" ht="12.75" customHeight="1"/>
    <row r="112" spans="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B3:E3"/>
  </mergeCells>
  <printOptions horizontalCentered="1"/>
  <pageMargins left="0.25" right="0.25"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000"/>
  <sheetViews>
    <sheetView workbookViewId="0"/>
  </sheetViews>
  <sheetFormatPr defaultColWidth="12.5703125" defaultRowHeight="15" customHeight="1"/>
  <cols>
    <col min="1" max="1" width="39.42578125" customWidth="1"/>
    <col min="2" max="3" width="15.85546875" customWidth="1"/>
    <col min="4" max="4" width="15.85546875" hidden="1" customWidth="1"/>
    <col min="5" max="5" width="15.85546875" customWidth="1"/>
    <col min="6" max="25" width="8.5703125" customWidth="1"/>
  </cols>
  <sheetData>
    <row r="1" spans="1:25" ht="12.75" customHeight="1">
      <c r="A1" s="109">
        <f>'Page 3-Assumptions'!A1</f>
        <v>0</v>
      </c>
      <c r="B1" s="110"/>
      <c r="C1" s="110"/>
      <c r="D1" s="110"/>
      <c r="E1" s="111"/>
      <c r="F1" s="4"/>
      <c r="G1" s="4"/>
      <c r="H1" s="4"/>
      <c r="I1" s="4"/>
      <c r="J1" s="4"/>
      <c r="K1" s="4"/>
      <c r="L1" s="4"/>
      <c r="M1" s="4"/>
      <c r="N1" s="4"/>
      <c r="O1" s="4"/>
      <c r="P1" s="4"/>
      <c r="Q1" s="4"/>
      <c r="R1" s="4"/>
      <c r="S1" s="4"/>
      <c r="T1" s="4"/>
      <c r="U1" s="4"/>
      <c r="V1" s="4"/>
      <c r="W1" s="4"/>
      <c r="X1" s="4"/>
      <c r="Y1" s="4"/>
    </row>
    <row r="2" spans="1:25" ht="18.600000000000001">
      <c r="A2" s="321" t="str">
        <f>B3</f>
        <v>YEAR 2</v>
      </c>
      <c r="B2" s="258"/>
      <c r="C2" s="258"/>
      <c r="D2" s="258"/>
      <c r="E2" s="27"/>
      <c r="F2" s="4"/>
      <c r="G2" s="4"/>
      <c r="H2" s="4"/>
      <c r="I2" s="4"/>
      <c r="J2" s="4"/>
      <c r="K2" s="4"/>
      <c r="L2" s="4"/>
      <c r="M2" s="4"/>
      <c r="N2" s="4"/>
      <c r="O2" s="4"/>
      <c r="P2" s="4"/>
      <c r="Q2" s="4"/>
      <c r="R2" s="4"/>
      <c r="S2" s="4"/>
      <c r="T2" s="4"/>
      <c r="U2" s="4"/>
      <c r="V2" s="4"/>
      <c r="W2" s="4"/>
      <c r="X2" s="4"/>
      <c r="Y2" s="4"/>
    </row>
    <row r="3" spans="1:25" ht="12.75" customHeight="1">
      <c r="A3" s="322"/>
      <c r="B3" s="323" t="str">
        <f>'Page 10-6 yr Budget-detail'!D4</f>
        <v>YEAR 2</v>
      </c>
      <c r="C3" s="252"/>
      <c r="D3" s="252"/>
      <c r="E3" s="253"/>
      <c r="F3" s="112"/>
      <c r="G3" s="112"/>
      <c r="H3" s="112"/>
      <c r="I3" s="112"/>
      <c r="J3" s="112"/>
      <c r="K3" s="112"/>
      <c r="L3" s="112"/>
      <c r="M3" s="112"/>
      <c r="N3" s="112"/>
      <c r="O3" s="112"/>
      <c r="P3" s="112"/>
      <c r="Q3" s="112"/>
      <c r="R3" s="112"/>
      <c r="S3" s="112"/>
      <c r="T3" s="112"/>
      <c r="U3" s="112"/>
      <c r="V3" s="112"/>
      <c r="W3" s="112"/>
      <c r="X3" s="112"/>
      <c r="Y3" s="112"/>
    </row>
    <row r="4" spans="1:25" ht="12.75" customHeight="1">
      <c r="A4" s="256"/>
      <c r="B4" s="113" t="s">
        <v>153</v>
      </c>
      <c r="C4" s="113" t="s">
        <v>154</v>
      </c>
      <c r="D4" s="113" t="s">
        <v>231</v>
      </c>
      <c r="E4" s="113" t="s">
        <v>148</v>
      </c>
      <c r="F4" s="112"/>
      <c r="G4" s="112"/>
      <c r="H4" s="112"/>
      <c r="I4" s="112"/>
      <c r="J4" s="112"/>
      <c r="K4" s="112"/>
      <c r="L4" s="112"/>
      <c r="M4" s="112"/>
      <c r="N4" s="112"/>
      <c r="O4" s="112"/>
      <c r="P4" s="112"/>
      <c r="Q4" s="112"/>
      <c r="R4" s="112"/>
      <c r="S4" s="112"/>
      <c r="T4" s="112"/>
      <c r="U4" s="112"/>
      <c r="V4" s="112"/>
      <c r="W4" s="112"/>
      <c r="X4" s="112"/>
      <c r="Y4" s="112"/>
    </row>
    <row r="5" spans="1:25" ht="12.75" customHeight="1">
      <c r="A5" s="324" t="s">
        <v>155</v>
      </c>
      <c r="B5" s="325"/>
      <c r="C5" s="325"/>
      <c r="D5" s="325"/>
      <c r="E5" s="139">
        <f>'Page 1-Enrollment Plan'!C21</f>
        <v>96</v>
      </c>
      <c r="F5" s="112"/>
      <c r="G5" s="112"/>
      <c r="H5" s="112"/>
      <c r="I5" s="112"/>
      <c r="J5" s="112"/>
      <c r="K5" s="112"/>
      <c r="L5" s="112"/>
      <c r="M5" s="112"/>
      <c r="N5" s="112"/>
      <c r="O5" s="112"/>
      <c r="P5" s="112"/>
      <c r="Q5" s="112"/>
      <c r="R5" s="112"/>
      <c r="S5" s="112"/>
      <c r="T5" s="112"/>
      <c r="U5" s="112"/>
      <c r="V5" s="112"/>
      <c r="W5" s="112"/>
      <c r="X5" s="112"/>
      <c r="Y5" s="112"/>
    </row>
    <row r="6" spans="1:25" ht="12.75" customHeight="1">
      <c r="A6" s="324" t="s">
        <v>156</v>
      </c>
      <c r="B6" s="325"/>
      <c r="C6" s="325"/>
      <c r="D6" s="325"/>
      <c r="E6" s="140">
        <f>'Page 1-Enrollment Plan'!C23</f>
        <v>76</v>
      </c>
      <c r="F6" s="112"/>
      <c r="G6" s="112"/>
      <c r="H6" s="112"/>
      <c r="I6" s="112"/>
      <c r="J6" s="112"/>
      <c r="K6" s="112"/>
      <c r="L6" s="112"/>
      <c r="M6" s="112"/>
      <c r="N6" s="112"/>
      <c r="O6" s="112"/>
      <c r="P6" s="112"/>
      <c r="Q6" s="112"/>
      <c r="R6" s="112"/>
      <c r="S6" s="112"/>
      <c r="T6" s="112"/>
      <c r="U6" s="112"/>
      <c r="V6" s="112"/>
      <c r="W6" s="112"/>
      <c r="X6" s="112"/>
      <c r="Y6" s="112"/>
    </row>
    <row r="7" spans="1:25" ht="12.75" customHeight="1">
      <c r="A7" s="256" t="s">
        <v>53</v>
      </c>
      <c r="B7" s="325"/>
      <c r="C7" s="325"/>
      <c r="D7" s="325"/>
      <c r="E7" s="326"/>
      <c r="F7" s="112"/>
      <c r="G7" s="112"/>
      <c r="H7" s="112"/>
      <c r="I7" s="112"/>
      <c r="J7" s="112"/>
      <c r="K7" s="112"/>
      <c r="L7" s="112"/>
      <c r="M7" s="112"/>
      <c r="N7" s="112"/>
      <c r="O7" s="112"/>
      <c r="P7" s="112"/>
      <c r="Q7" s="112"/>
      <c r="R7" s="112"/>
      <c r="S7" s="112"/>
      <c r="T7" s="112"/>
      <c r="U7" s="112"/>
      <c r="V7" s="112"/>
      <c r="W7" s="112"/>
      <c r="X7" s="112"/>
      <c r="Y7" s="112"/>
    </row>
    <row r="8" spans="1:25" ht="36" customHeight="1">
      <c r="A8" s="141" t="s">
        <v>157</v>
      </c>
      <c r="B8" s="116">
        <v>110000</v>
      </c>
      <c r="C8" s="116"/>
      <c r="D8" s="116"/>
      <c r="E8" s="118">
        <f t="shared" ref="E8:E29" si="0">SUM(B8:D8)</f>
        <v>110000</v>
      </c>
      <c r="F8" s="4"/>
      <c r="G8" s="4"/>
      <c r="H8" s="4"/>
      <c r="I8" s="4"/>
      <c r="J8" s="4"/>
      <c r="K8" s="4"/>
      <c r="L8" s="4"/>
      <c r="M8" s="4"/>
      <c r="N8" s="4"/>
      <c r="O8" s="4"/>
      <c r="P8" s="4"/>
      <c r="Q8" s="4"/>
      <c r="R8" s="4"/>
      <c r="S8" s="4"/>
      <c r="T8" s="4"/>
      <c r="U8" s="4"/>
      <c r="V8" s="4"/>
      <c r="W8" s="4"/>
      <c r="X8" s="4"/>
      <c r="Y8" s="4"/>
    </row>
    <row r="9" spans="1:25" ht="12.75" customHeight="1">
      <c r="A9" s="141" t="s">
        <v>158</v>
      </c>
      <c r="B9" s="345">
        <v>105672.95</v>
      </c>
      <c r="C9" s="119">
        <v>0</v>
      </c>
      <c r="D9" s="119">
        <v>0</v>
      </c>
      <c r="E9" s="118">
        <f t="shared" si="0"/>
        <v>105672.95</v>
      </c>
      <c r="F9" s="4"/>
      <c r="G9" s="4"/>
      <c r="H9" s="4"/>
      <c r="I9" s="4"/>
      <c r="J9" s="4"/>
      <c r="K9" s="4"/>
      <c r="L9" s="4"/>
      <c r="M9" s="4"/>
      <c r="N9" s="4"/>
      <c r="O9" s="4"/>
      <c r="P9" s="4"/>
      <c r="Q9" s="4"/>
      <c r="R9" s="4"/>
      <c r="S9" s="4"/>
      <c r="T9" s="4"/>
      <c r="U9" s="4"/>
      <c r="V9" s="4"/>
      <c r="W9" s="4"/>
      <c r="X9" s="4"/>
      <c r="Y9" s="4"/>
    </row>
    <row r="10" spans="1:25" ht="12.75" customHeight="1">
      <c r="A10" s="141" t="s">
        <v>159</v>
      </c>
      <c r="B10" s="116"/>
      <c r="C10" s="126"/>
      <c r="D10" s="126"/>
      <c r="E10" s="118">
        <f t="shared" si="0"/>
        <v>0</v>
      </c>
      <c r="F10" s="4"/>
      <c r="G10" s="4"/>
      <c r="H10" s="4"/>
      <c r="I10" s="4"/>
      <c r="J10" s="4"/>
      <c r="K10" s="4"/>
      <c r="L10" s="4"/>
      <c r="M10" s="4"/>
      <c r="N10" s="4"/>
      <c r="O10" s="4"/>
      <c r="P10" s="4"/>
      <c r="Q10" s="4"/>
      <c r="R10" s="4"/>
      <c r="S10" s="4"/>
      <c r="T10" s="4"/>
      <c r="U10" s="4"/>
      <c r="V10" s="4"/>
      <c r="W10" s="4"/>
      <c r="X10" s="4"/>
      <c r="Y10" s="4"/>
    </row>
    <row r="11" spans="1:25" ht="12.75" customHeight="1">
      <c r="A11" s="141" t="s">
        <v>160</v>
      </c>
      <c r="B11" s="120"/>
      <c r="C11" s="116"/>
      <c r="D11" s="116"/>
      <c r="E11" s="118">
        <f t="shared" si="0"/>
        <v>0</v>
      </c>
      <c r="F11" s="4"/>
      <c r="G11" s="4"/>
      <c r="H11" s="4"/>
      <c r="I11" s="4"/>
      <c r="J11" s="4"/>
      <c r="K11" s="4"/>
      <c r="L11" s="4"/>
      <c r="M11" s="4"/>
      <c r="N11" s="4"/>
      <c r="O11" s="4"/>
      <c r="P11" s="4"/>
      <c r="Q11" s="4"/>
      <c r="R11" s="4"/>
      <c r="S11" s="4"/>
      <c r="T11" s="4"/>
      <c r="U11" s="4"/>
      <c r="V11" s="4"/>
      <c r="W11" s="4"/>
      <c r="X11" s="4"/>
      <c r="Y11" s="4"/>
    </row>
    <row r="12" spans="1:25" ht="12.75" customHeight="1">
      <c r="A12" s="141" t="s">
        <v>161</v>
      </c>
      <c r="B12" s="143">
        <f>1600*'Page 3-Assumptions'!C70</f>
        <v>50688</v>
      </c>
      <c r="C12" s="126"/>
      <c r="D12" s="126"/>
      <c r="E12" s="118">
        <f t="shared" si="0"/>
        <v>50688</v>
      </c>
      <c r="F12" s="4"/>
      <c r="G12" s="4"/>
      <c r="H12" s="4"/>
      <c r="I12" s="4"/>
      <c r="J12" s="4"/>
      <c r="K12" s="4"/>
      <c r="L12" s="4"/>
      <c r="M12" s="4"/>
      <c r="N12" s="4"/>
      <c r="O12" s="4"/>
      <c r="P12" s="4"/>
      <c r="Q12" s="4"/>
      <c r="R12" s="4"/>
      <c r="S12" s="4"/>
      <c r="T12" s="4"/>
      <c r="U12" s="4"/>
      <c r="V12" s="4"/>
      <c r="W12" s="4"/>
      <c r="X12" s="4"/>
      <c r="Y12" s="4"/>
    </row>
    <row r="13" spans="1:25" ht="12.75" customHeight="1">
      <c r="A13" s="141" t="s">
        <v>162</v>
      </c>
      <c r="B13" s="143">
        <f>2500*'Page 3-Assumptions'!C72</f>
        <v>120000</v>
      </c>
      <c r="C13" s="126"/>
      <c r="D13" s="126"/>
      <c r="E13" s="118">
        <f t="shared" si="0"/>
        <v>120000</v>
      </c>
      <c r="F13" s="4"/>
      <c r="G13" s="4"/>
      <c r="H13" s="4"/>
      <c r="I13" s="4"/>
      <c r="J13" s="4"/>
      <c r="K13" s="4"/>
      <c r="L13" s="4"/>
      <c r="M13" s="4"/>
      <c r="N13" s="4"/>
      <c r="O13" s="4"/>
      <c r="P13" s="4"/>
      <c r="Q13" s="4"/>
      <c r="R13" s="4"/>
      <c r="S13" s="4"/>
      <c r="T13" s="4"/>
      <c r="U13" s="4"/>
      <c r="V13" s="4"/>
      <c r="W13" s="4"/>
      <c r="X13" s="4"/>
      <c r="Y13" s="4"/>
    </row>
    <row r="14" spans="1:25" ht="12.75" customHeight="1">
      <c r="A14" s="327" t="s">
        <v>163</v>
      </c>
      <c r="B14" s="116">
        <v>0</v>
      </c>
      <c r="C14" s="126"/>
      <c r="D14" s="126"/>
      <c r="E14" s="118">
        <f t="shared" si="0"/>
        <v>0</v>
      </c>
      <c r="F14" s="4"/>
      <c r="G14" s="4"/>
      <c r="H14" s="4"/>
      <c r="I14" s="4"/>
      <c r="J14" s="4"/>
      <c r="K14" s="4"/>
      <c r="L14" s="4"/>
      <c r="M14" s="4"/>
      <c r="N14" s="4"/>
      <c r="O14" s="4"/>
      <c r="P14" s="4"/>
      <c r="Q14" s="4"/>
      <c r="R14" s="4"/>
      <c r="S14" s="4"/>
      <c r="T14" s="4"/>
      <c r="U14" s="4"/>
      <c r="V14" s="4"/>
      <c r="W14" s="4"/>
      <c r="X14" s="4"/>
      <c r="Y14" s="4"/>
    </row>
    <row r="15" spans="1:25" ht="12.75" customHeight="1">
      <c r="A15" s="327" t="s">
        <v>164</v>
      </c>
      <c r="B15" s="116">
        <f>E6*'Page 3-Assumptions'!D8</f>
        <v>22572</v>
      </c>
      <c r="C15" s="126">
        <v>0</v>
      </c>
      <c r="D15" s="126">
        <v>0</v>
      </c>
      <c r="E15" s="118">
        <f t="shared" si="0"/>
        <v>22572</v>
      </c>
      <c r="F15" s="4"/>
      <c r="G15" s="4"/>
      <c r="H15" s="4"/>
      <c r="I15" s="4"/>
      <c r="J15" s="4"/>
      <c r="K15" s="4"/>
      <c r="L15" s="4"/>
      <c r="M15" s="4"/>
      <c r="N15" s="4"/>
      <c r="O15" s="4"/>
      <c r="P15" s="4"/>
      <c r="Q15" s="4"/>
      <c r="R15" s="4"/>
      <c r="S15" s="4"/>
      <c r="T15" s="4"/>
      <c r="U15" s="4"/>
      <c r="V15" s="4"/>
      <c r="W15" s="4"/>
      <c r="X15" s="4"/>
      <c r="Y15" s="4"/>
    </row>
    <row r="16" spans="1:25" ht="12.75" customHeight="1">
      <c r="A16" s="327" t="s">
        <v>166</v>
      </c>
      <c r="B16" s="116">
        <f>'Page 3-Assumptions'!D9</f>
        <v>11088</v>
      </c>
      <c r="C16" s="126">
        <v>0</v>
      </c>
      <c r="D16" s="126">
        <v>0</v>
      </c>
      <c r="E16" s="118">
        <f t="shared" si="0"/>
        <v>11088</v>
      </c>
      <c r="F16" s="4"/>
      <c r="G16" s="4"/>
      <c r="H16" s="4"/>
      <c r="I16" s="4"/>
      <c r="J16" s="4"/>
      <c r="K16" s="4"/>
      <c r="L16" s="4"/>
      <c r="M16" s="4"/>
      <c r="N16" s="4"/>
      <c r="O16" s="4"/>
      <c r="P16" s="4"/>
      <c r="Q16" s="4"/>
      <c r="R16" s="4"/>
      <c r="S16" s="4"/>
      <c r="T16" s="4"/>
      <c r="U16" s="4"/>
      <c r="V16" s="4"/>
      <c r="W16" s="4"/>
      <c r="X16" s="4"/>
      <c r="Y16" s="4"/>
    </row>
    <row r="17" spans="1:25" ht="12.75" customHeight="1">
      <c r="A17" s="141" t="s">
        <v>74</v>
      </c>
      <c r="B17" s="116"/>
      <c r="C17" s="119">
        <f>'Page 3-Assumptions'!$D$11</f>
        <v>1287.7199999999998</v>
      </c>
      <c r="D17" s="126">
        <v>0</v>
      </c>
      <c r="E17" s="118">
        <f t="shared" si="0"/>
        <v>1287.7199999999998</v>
      </c>
      <c r="F17" s="4"/>
      <c r="G17" s="4"/>
      <c r="H17" s="4"/>
      <c r="I17" s="4"/>
      <c r="J17" s="4"/>
      <c r="K17" s="4"/>
      <c r="L17" s="4"/>
      <c r="M17" s="4"/>
      <c r="N17" s="4"/>
      <c r="O17" s="4"/>
      <c r="P17" s="4"/>
      <c r="Q17" s="4"/>
      <c r="R17" s="4"/>
      <c r="S17" s="4"/>
      <c r="T17" s="4"/>
      <c r="U17" s="4"/>
      <c r="V17" s="4"/>
      <c r="W17" s="4"/>
      <c r="X17" s="4"/>
      <c r="Y17" s="4"/>
    </row>
    <row r="18" spans="1:25" ht="12.75" customHeight="1">
      <c r="A18" s="141" t="s">
        <v>80</v>
      </c>
      <c r="B18" s="119">
        <f>'Page 3-Assumptions'!D14</f>
        <v>500</v>
      </c>
      <c r="C18" s="119">
        <v>0</v>
      </c>
      <c r="D18" s="119">
        <v>0</v>
      </c>
      <c r="E18" s="118">
        <f t="shared" si="0"/>
        <v>500</v>
      </c>
      <c r="F18" s="4"/>
      <c r="G18" s="4"/>
      <c r="H18" s="4"/>
      <c r="I18" s="4"/>
      <c r="J18" s="4"/>
      <c r="K18" s="4"/>
      <c r="L18" s="4"/>
      <c r="M18" s="4"/>
      <c r="N18" s="4"/>
      <c r="O18" s="4"/>
      <c r="P18" s="4"/>
      <c r="Q18" s="4"/>
      <c r="R18" s="4"/>
      <c r="S18" s="4"/>
      <c r="T18" s="4"/>
      <c r="U18" s="4"/>
      <c r="V18" s="4"/>
      <c r="W18" s="4"/>
      <c r="X18" s="4"/>
      <c r="Y18" s="4"/>
    </row>
    <row r="19" spans="1:25" ht="12.75" customHeight="1">
      <c r="A19" s="141" t="s">
        <v>168</v>
      </c>
      <c r="B19" s="117"/>
      <c r="C19" s="116"/>
      <c r="D19" s="116"/>
      <c r="E19" s="118">
        <f t="shared" si="0"/>
        <v>0</v>
      </c>
      <c r="F19" s="4"/>
      <c r="G19" s="4"/>
      <c r="H19" s="4"/>
      <c r="I19" s="4"/>
      <c r="J19" s="4"/>
      <c r="K19" s="4"/>
      <c r="L19" s="4"/>
      <c r="M19" s="4"/>
      <c r="N19" s="4"/>
      <c r="O19" s="4"/>
      <c r="P19" s="4"/>
      <c r="Q19" s="4"/>
      <c r="R19" s="4"/>
      <c r="S19" s="4"/>
      <c r="T19" s="4"/>
      <c r="U19" s="4"/>
      <c r="V19" s="4"/>
      <c r="W19" s="4"/>
      <c r="X19" s="4"/>
      <c r="Y19" s="4"/>
    </row>
    <row r="20" spans="1:25" ht="12.75" customHeight="1">
      <c r="A20" s="141" t="s">
        <v>82</v>
      </c>
      <c r="B20" s="117">
        <f>'Page 3-Assumptions'!D16</f>
        <v>9444.14</v>
      </c>
      <c r="C20" s="119">
        <v>0</v>
      </c>
      <c r="D20" s="119">
        <v>0</v>
      </c>
      <c r="E20" s="118">
        <f t="shared" si="0"/>
        <v>9444.14</v>
      </c>
      <c r="F20" s="4"/>
      <c r="G20" s="4"/>
      <c r="H20" s="4"/>
      <c r="I20" s="4"/>
      <c r="J20" s="4"/>
      <c r="K20" s="4"/>
      <c r="L20" s="4"/>
      <c r="M20" s="4"/>
      <c r="N20" s="4"/>
      <c r="O20" s="4"/>
      <c r="P20" s="4"/>
      <c r="Q20" s="4"/>
      <c r="R20" s="4"/>
      <c r="S20" s="4"/>
      <c r="T20" s="4"/>
      <c r="U20" s="4"/>
      <c r="V20" s="4"/>
      <c r="W20" s="4"/>
      <c r="X20" s="4"/>
      <c r="Y20" s="4"/>
    </row>
    <row r="21" spans="1:25" ht="12.75" customHeight="1">
      <c r="A21" s="141" t="s">
        <v>88</v>
      </c>
      <c r="B21" s="117">
        <f>'Page 3-Assumptions'!D18</f>
        <v>60800</v>
      </c>
      <c r="C21" s="119">
        <v>0</v>
      </c>
      <c r="D21" s="119">
        <v>0</v>
      </c>
      <c r="E21" s="118">
        <f t="shared" si="0"/>
        <v>60800</v>
      </c>
      <c r="F21" s="4"/>
      <c r="G21" s="4"/>
      <c r="H21" s="4"/>
      <c r="I21" s="4"/>
      <c r="J21" s="4"/>
      <c r="K21" s="4"/>
      <c r="L21" s="4"/>
      <c r="M21" s="4"/>
      <c r="N21" s="4"/>
      <c r="O21" s="4"/>
      <c r="P21" s="4"/>
      <c r="Q21" s="4"/>
      <c r="R21" s="4"/>
      <c r="S21" s="4"/>
      <c r="T21" s="4"/>
      <c r="U21" s="4"/>
      <c r="V21" s="4"/>
      <c r="W21" s="4"/>
      <c r="X21" s="4"/>
      <c r="Y21" s="4"/>
    </row>
    <row r="22" spans="1:25" ht="12.75" customHeight="1">
      <c r="A22" s="141" t="s">
        <v>90</v>
      </c>
      <c r="B22" s="117"/>
      <c r="C22" s="119">
        <f>'Page 3-Assumptions'!$D$19</f>
        <v>17008.8</v>
      </c>
      <c r="D22" s="126">
        <v>0</v>
      </c>
      <c r="E22" s="118">
        <f t="shared" si="0"/>
        <v>17008.8</v>
      </c>
      <c r="F22" s="4"/>
      <c r="G22" s="4"/>
      <c r="H22" s="4"/>
      <c r="I22" s="4"/>
      <c r="J22" s="4"/>
      <c r="K22" s="4"/>
      <c r="L22" s="4"/>
      <c r="M22" s="4"/>
      <c r="N22" s="4"/>
      <c r="O22" s="4"/>
      <c r="P22" s="4"/>
      <c r="Q22" s="4"/>
      <c r="R22" s="4"/>
      <c r="S22" s="4"/>
      <c r="T22" s="4"/>
      <c r="U22" s="4"/>
      <c r="V22" s="4"/>
      <c r="W22" s="4"/>
      <c r="X22" s="4"/>
      <c r="Y22" s="4"/>
    </row>
    <row r="23" spans="1:25" ht="12.75" customHeight="1">
      <c r="A23" s="141" t="s">
        <v>169</v>
      </c>
      <c r="B23" s="117"/>
      <c r="C23" s="119">
        <f>'Page 3-Assumptions'!$D$20</f>
        <v>11200</v>
      </c>
      <c r="D23" s="126">
        <v>0</v>
      </c>
      <c r="E23" s="118">
        <f t="shared" si="0"/>
        <v>11200</v>
      </c>
      <c r="F23" s="4"/>
      <c r="G23" s="4"/>
      <c r="H23" s="4"/>
      <c r="I23" s="4"/>
      <c r="J23" s="4"/>
      <c r="K23" s="4"/>
      <c r="L23" s="4"/>
      <c r="M23" s="4"/>
      <c r="N23" s="4"/>
      <c r="O23" s="4"/>
      <c r="P23" s="4"/>
      <c r="Q23" s="4"/>
      <c r="R23" s="4"/>
      <c r="S23" s="4"/>
      <c r="T23" s="4"/>
      <c r="U23" s="4"/>
      <c r="V23" s="4"/>
      <c r="W23" s="4"/>
      <c r="X23" s="4"/>
      <c r="Y23" s="4"/>
    </row>
    <row r="24" spans="1:25" ht="12.75" customHeight="1">
      <c r="A24" s="141" t="s">
        <v>95</v>
      </c>
      <c r="B24" s="117"/>
      <c r="C24" s="119">
        <f>'Page 3-Assumptions'!$D21</f>
        <v>458.63999999999993</v>
      </c>
      <c r="D24" s="126">
        <v>0</v>
      </c>
      <c r="E24" s="118">
        <f t="shared" si="0"/>
        <v>458.63999999999993</v>
      </c>
      <c r="F24" s="4"/>
      <c r="G24" s="4"/>
      <c r="H24" s="4"/>
      <c r="I24" s="4"/>
      <c r="J24" s="4"/>
      <c r="K24" s="4"/>
      <c r="L24" s="4"/>
      <c r="M24" s="4"/>
      <c r="N24" s="4"/>
      <c r="O24" s="4"/>
      <c r="P24" s="4"/>
      <c r="Q24" s="4"/>
      <c r="R24" s="4"/>
      <c r="S24" s="4"/>
      <c r="T24" s="4"/>
      <c r="U24" s="4"/>
      <c r="V24" s="4"/>
      <c r="W24" s="4"/>
      <c r="X24" s="4"/>
      <c r="Y24" s="4"/>
    </row>
    <row r="25" spans="1:25" ht="12.75" customHeight="1">
      <c r="A25" s="141" t="s">
        <v>170</v>
      </c>
      <c r="B25" s="117">
        <v>0</v>
      </c>
      <c r="C25" s="119">
        <f>'Page 3-Assumptions'!$D22</f>
        <v>1500</v>
      </c>
      <c r="D25" s="126">
        <v>0</v>
      </c>
      <c r="E25" s="118">
        <f t="shared" si="0"/>
        <v>1500</v>
      </c>
      <c r="F25" s="4"/>
      <c r="G25" s="4"/>
      <c r="H25" s="4"/>
      <c r="I25" s="4"/>
      <c r="J25" s="4"/>
      <c r="K25" s="4"/>
      <c r="L25" s="4"/>
      <c r="M25" s="4"/>
      <c r="N25" s="4"/>
      <c r="O25" s="4"/>
      <c r="P25" s="4"/>
      <c r="Q25" s="4"/>
      <c r="R25" s="4"/>
      <c r="S25" s="4"/>
      <c r="T25" s="4"/>
      <c r="U25" s="4"/>
      <c r="V25" s="4"/>
      <c r="W25" s="4"/>
      <c r="X25" s="4"/>
      <c r="Y25" s="4"/>
    </row>
    <row r="26" spans="1:25" ht="12.75" customHeight="1">
      <c r="A26" s="141" t="s">
        <v>171</v>
      </c>
      <c r="B26" s="116">
        <f>((6.67*'Page 1-Enrollment Plan'!C23*160)*1.02^2)</f>
        <v>84383.93088</v>
      </c>
      <c r="C26" s="116"/>
      <c r="D26" s="116"/>
      <c r="E26" s="118">
        <f t="shared" si="0"/>
        <v>84383.93088</v>
      </c>
      <c r="F26" s="4"/>
      <c r="G26" s="4"/>
      <c r="H26" s="4"/>
      <c r="I26" s="4"/>
      <c r="J26" s="4"/>
      <c r="K26" s="4"/>
      <c r="L26" s="4"/>
      <c r="M26" s="4"/>
      <c r="N26" s="4"/>
      <c r="O26" s="4"/>
      <c r="P26" s="4"/>
      <c r="Q26" s="4"/>
      <c r="R26" s="4"/>
      <c r="S26" s="4"/>
      <c r="T26" s="4"/>
      <c r="U26" s="4"/>
      <c r="V26" s="4"/>
      <c r="W26" s="4"/>
      <c r="X26" s="4"/>
      <c r="Y26" s="4"/>
    </row>
    <row r="27" spans="1:25" ht="12.75" customHeight="1">
      <c r="A27" s="141" t="s">
        <v>172</v>
      </c>
      <c r="B27" s="117"/>
      <c r="C27" s="126">
        <v>0</v>
      </c>
      <c r="D27" s="116">
        <f>'Support-CDE start-up grant'!D4</f>
        <v>0</v>
      </c>
      <c r="E27" s="118">
        <f t="shared" si="0"/>
        <v>0</v>
      </c>
      <c r="F27" s="4"/>
      <c r="G27" s="4"/>
      <c r="H27" s="4"/>
      <c r="I27" s="4"/>
      <c r="J27" s="4"/>
      <c r="K27" s="4"/>
      <c r="L27" s="4"/>
      <c r="M27" s="4"/>
      <c r="N27" s="4"/>
      <c r="O27" s="4"/>
      <c r="P27" s="4"/>
      <c r="Q27" s="4"/>
      <c r="R27" s="4"/>
      <c r="S27" s="4"/>
      <c r="T27" s="4"/>
      <c r="U27" s="4"/>
      <c r="V27" s="4"/>
      <c r="W27" s="4"/>
      <c r="X27" s="4"/>
      <c r="Y27" s="4"/>
    </row>
    <row r="28" spans="1:25" ht="12.75" customHeight="1">
      <c r="A28" s="141" t="s">
        <v>57</v>
      </c>
      <c r="B28" s="121">
        <f>E6*'Page 3-Assumptions'!D5</f>
        <v>721799.04269999976</v>
      </c>
      <c r="C28" s="154">
        <v>0</v>
      </c>
      <c r="D28" s="154">
        <v>0</v>
      </c>
      <c r="E28" s="118">
        <f t="shared" si="0"/>
        <v>721799.04269999976</v>
      </c>
      <c r="F28" s="4"/>
      <c r="G28" s="4"/>
      <c r="H28" s="4"/>
      <c r="I28" s="4"/>
      <c r="J28" s="4"/>
      <c r="K28" s="4"/>
      <c r="L28" s="4"/>
      <c r="M28" s="4"/>
      <c r="N28" s="4"/>
      <c r="O28" s="4"/>
      <c r="P28" s="4"/>
      <c r="Q28" s="4"/>
      <c r="R28" s="4"/>
      <c r="S28" s="4"/>
      <c r="T28" s="4"/>
      <c r="U28" s="4"/>
      <c r="V28" s="4"/>
      <c r="W28" s="4"/>
      <c r="X28" s="4"/>
      <c r="Y28" s="4"/>
    </row>
    <row r="29" spans="1:25" ht="12.75" customHeight="1">
      <c r="A29" s="141" t="s">
        <v>232</v>
      </c>
      <c r="B29" s="121">
        <v>123428.41</v>
      </c>
      <c r="C29" s="121">
        <v>0</v>
      </c>
      <c r="D29" s="121">
        <v>0</v>
      </c>
      <c r="E29" s="118">
        <f t="shared" si="0"/>
        <v>123428.41</v>
      </c>
      <c r="F29" s="4"/>
      <c r="G29" s="4"/>
      <c r="H29" s="4"/>
      <c r="I29" s="4"/>
      <c r="J29" s="4"/>
      <c r="K29" s="4"/>
      <c r="L29" s="4"/>
      <c r="M29" s="4"/>
      <c r="N29" s="4"/>
      <c r="O29" s="4"/>
      <c r="P29" s="4"/>
      <c r="Q29" s="4"/>
      <c r="R29" s="4"/>
      <c r="S29" s="4"/>
      <c r="T29" s="4"/>
      <c r="U29" s="4"/>
      <c r="V29" s="4"/>
      <c r="W29" s="4"/>
      <c r="X29" s="4"/>
      <c r="Y29" s="4"/>
    </row>
    <row r="30" spans="1:25" ht="12.75" customHeight="1">
      <c r="A30" s="155" t="s">
        <v>174</v>
      </c>
      <c r="B30" s="123">
        <f t="shared" ref="B30:E30" si="1">SUM(B8:B29)</f>
        <v>1420376.4735799998</v>
      </c>
      <c r="C30" s="123">
        <f t="shared" si="1"/>
        <v>31455.16</v>
      </c>
      <c r="D30" s="123">
        <f t="shared" si="1"/>
        <v>0</v>
      </c>
      <c r="E30" s="123">
        <f t="shared" si="1"/>
        <v>1451831.6335799997</v>
      </c>
      <c r="F30" s="4"/>
      <c r="G30" s="4"/>
      <c r="H30" s="4"/>
      <c r="I30" s="4"/>
      <c r="J30" s="4"/>
      <c r="K30" s="4"/>
      <c r="L30" s="4"/>
      <c r="M30" s="4"/>
      <c r="N30" s="4"/>
      <c r="O30" s="4"/>
      <c r="P30" s="4"/>
      <c r="Q30" s="4"/>
      <c r="R30" s="4"/>
      <c r="S30" s="4"/>
      <c r="T30" s="4"/>
      <c r="U30" s="4"/>
      <c r="V30" s="4"/>
      <c r="W30" s="4"/>
      <c r="X30" s="4"/>
      <c r="Y30" s="4"/>
    </row>
    <row r="31" spans="1:25" ht="12.75" customHeight="1">
      <c r="A31" s="346"/>
      <c r="B31" s="329"/>
      <c r="C31" s="329"/>
      <c r="D31" s="329"/>
      <c r="E31" s="330"/>
      <c r="F31" s="4"/>
      <c r="G31" s="4"/>
      <c r="H31" s="4"/>
      <c r="I31" s="4"/>
      <c r="J31" s="4"/>
      <c r="K31" s="4"/>
      <c r="L31" s="4"/>
      <c r="M31" s="4"/>
      <c r="N31" s="4"/>
      <c r="O31" s="4"/>
      <c r="P31" s="4"/>
      <c r="Q31" s="4"/>
      <c r="R31" s="4"/>
      <c r="S31" s="4"/>
      <c r="T31" s="4"/>
      <c r="U31" s="4"/>
      <c r="V31" s="4"/>
      <c r="W31" s="4"/>
      <c r="X31" s="4"/>
      <c r="Y31" s="4"/>
    </row>
    <row r="32" spans="1:25" ht="12.75" customHeight="1">
      <c r="A32" s="347" t="s">
        <v>106</v>
      </c>
      <c r="B32" s="329"/>
      <c r="C32" s="329"/>
      <c r="D32" s="329"/>
      <c r="E32" s="330"/>
      <c r="F32" s="4"/>
      <c r="G32" s="4"/>
      <c r="H32" s="4"/>
      <c r="I32" s="4"/>
      <c r="J32" s="4"/>
      <c r="K32" s="4"/>
      <c r="L32" s="4"/>
      <c r="M32" s="4"/>
      <c r="N32" s="4"/>
      <c r="O32" s="4"/>
      <c r="P32" s="4"/>
      <c r="Q32" s="4"/>
      <c r="R32" s="4"/>
      <c r="S32" s="4"/>
      <c r="T32" s="4"/>
      <c r="U32" s="4"/>
      <c r="V32" s="4"/>
      <c r="W32" s="4"/>
      <c r="X32" s="4"/>
      <c r="Y32" s="4"/>
    </row>
    <row r="33" spans="1:25" ht="12.75" customHeight="1">
      <c r="A33" s="141" t="s">
        <v>175</v>
      </c>
      <c r="B33" s="119">
        <f>'Page 2-Staffing Plan'!D32</f>
        <v>622960</v>
      </c>
      <c r="C33" s="116">
        <v>0</v>
      </c>
      <c r="D33" s="116">
        <v>0</v>
      </c>
      <c r="E33" s="118">
        <f t="shared" ref="E33:E76" si="2">SUM(B33:D33)</f>
        <v>622960</v>
      </c>
      <c r="F33" s="4"/>
      <c r="G33" s="4"/>
      <c r="H33" s="4"/>
      <c r="I33" s="4"/>
      <c r="J33" s="4"/>
      <c r="K33" s="4"/>
      <c r="L33" s="4"/>
      <c r="M33" s="4"/>
      <c r="N33" s="4"/>
      <c r="O33" s="4"/>
      <c r="P33" s="4"/>
      <c r="Q33" s="4"/>
      <c r="R33" s="4"/>
      <c r="S33" s="4"/>
      <c r="T33" s="4"/>
      <c r="U33" s="4"/>
      <c r="V33" s="4"/>
      <c r="W33" s="4"/>
      <c r="X33" s="4"/>
      <c r="Y33" s="4"/>
    </row>
    <row r="34" spans="1:25" ht="12.75" customHeight="1">
      <c r="A34" s="141" t="s">
        <v>176</v>
      </c>
      <c r="B34" s="119">
        <v>8200</v>
      </c>
      <c r="C34" s="116"/>
      <c r="D34" s="116"/>
      <c r="E34" s="118">
        <f t="shared" si="2"/>
        <v>8200</v>
      </c>
      <c r="F34" s="4"/>
      <c r="G34" s="4"/>
      <c r="H34" s="4"/>
      <c r="I34" s="4"/>
      <c r="J34" s="4"/>
      <c r="K34" s="4"/>
      <c r="L34" s="4"/>
      <c r="M34" s="4"/>
      <c r="N34" s="4"/>
      <c r="O34" s="4"/>
      <c r="P34" s="4"/>
      <c r="Q34" s="4"/>
      <c r="R34" s="4"/>
      <c r="S34" s="4"/>
      <c r="T34" s="4"/>
      <c r="U34" s="4"/>
      <c r="V34" s="4"/>
      <c r="W34" s="4"/>
      <c r="X34" s="4"/>
      <c r="Y34" s="4"/>
    </row>
    <row r="35" spans="1:25" ht="12.75" customHeight="1">
      <c r="A35" s="141" t="s">
        <v>177</v>
      </c>
      <c r="B35" s="119">
        <f>(B33+B34)*1.45%</f>
        <v>9151.82</v>
      </c>
      <c r="C35" s="116"/>
      <c r="D35" s="116"/>
      <c r="E35" s="118">
        <f t="shared" si="2"/>
        <v>9151.82</v>
      </c>
      <c r="F35" s="4"/>
      <c r="G35" s="4"/>
      <c r="H35" s="4"/>
      <c r="I35" s="4"/>
      <c r="J35" s="4"/>
      <c r="K35" s="4"/>
      <c r="L35" s="4"/>
      <c r="M35" s="4"/>
      <c r="N35" s="4"/>
      <c r="O35" s="4"/>
      <c r="P35" s="4"/>
      <c r="Q35" s="4"/>
      <c r="R35" s="4"/>
      <c r="S35" s="4"/>
      <c r="T35" s="4"/>
      <c r="U35" s="4"/>
      <c r="V35" s="4"/>
      <c r="W35" s="4"/>
      <c r="X35" s="4"/>
      <c r="Y35" s="4"/>
    </row>
    <row r="36" spans="1:25" ht="12.75" customHeight="1">
      <c r="A36" s="141" t="s">
        <v>178</v>
      </c>
      <c r="B36" s="119">
        <f>'Page 5-Year 1'!B36</f>
        <v>0</v>
      </c>
      <c r="C36" s="116"/>
      <c r="D36" s="116"/>
      <c r="E36" s="118">
        <f t="shared" si="2"/>
        <v>0</v>
      </c>
      <c r="F36" s="4"/>
      <c r="G36" s="4"/>
      <c r="H36" s="4"/>
      <c r="I36" s="4"/>
      <c r="J36" s="4"/>
      <c r="K36" s="4"/>
      <c r="L36" s="4"/>
      <c r="M36" s="4"/>
      <c r="N36" s="4"/>
      <c r="O36" s="4"/>
      <c r="P36" s="4"/>
      <c r="Q36" s="4"/>
      <c r="R36" s="4"/>
      <c r="S36" s="4"/>
      <c r="T36" s="4"/>
      <c r="U36" s="4"/>
      <c r="V36" s="4"/>
      <c r="W36" s="4"/>
      <c r="X36" s="4"/>
      <c r="Y36" s="4"/>
    </row>
    <row r="37" spans="1:25" ht="12.75" customHeight="1">
      <c r="A37" s="141" t="s">
        <v>179</v>
      </c>
      <c r="B37" s="119">
        <f>((E33+E34)*'Page 3-Assumptions'!D31)-C37</f>
        <v>139801.94</v>
      </c>
      <c r="C37" s="146"/>
      <c r="D37" s="116"/>
      <c r="E37" s="118">
        <f t="shared" si="2"/>
        <v>139801.94</v>
      </c>
      <c r="F37" s="4"/>
      <c r="G37" s="4"/>
      <c r="H37" s="4"/>
      <c r="I37" s="4"/>
      <c r="J37" s="4"/>
      <c r="K37" s="4"/>
      <c r="L37" s="4"/>
      <c r="M37" s="4"/>
      <c r="N37" s="4"/>
      <c r="O37" s="4"/>
      <c r="P37" s="4"/>
      <c r="Q37" s="4"/>
      <c r="R37" s="4"/>
      <c r="S37" s="4"/>
      <c r="T37" s="4"/>
      <c r="U37" s="4"/>
      <c r="V37" s="4"/>
      <c r="W37" s="4"/>
      <c r="X37" s="4"/>
      <c r="Y37" s="4"/>
    </row>
    <row r="38" spans="1:25" ht="12.75" customHeight="1">
      <c r="A38" s="141" t="s">
        <v>180</v>
      </c>
      <c r="B38" s="119">
        <f>('Page 3-Assumptions'!B41*1.05^2)*10*0.8</f>
        <v>44100</v>
      </c>
      <c r="C38" s="116"/>
      <c r="D38" s="116"/>
      <c r="E38" s="118">
        <f t="shared" si="2"/>
        <v>44100</v>
      </c>
      <c r="F38" s="4"/>
      <c r="G38" s="4"/>
      <c r="H38" s="4"/>
      <c r="I38" s="4"/>
      <c r="J38" s="4"/>
      <c r="K38" s="4"/>
      <c r="L38" s="4"/>
      <c r="M38" s="4"/>
      <c r="N38" s="4"/>
      <c r="O38" s="4"/>
      <c r="P38" s="4"/>
      <c r="Q38" s="4"/>
      <c r="R38" s="4"/>
      <c r="S38" s="4"/>
      <c r="T38" s="4"/>
      <c r="U38" s="4"/>
      <c r="V38" s="4"/>
      <c r="W38" s="4"/>
      <c r="X38" s="4"/>
      <c r="Y38" s="4"/>
    </row>
    <row r="39" spans="1:25" ht="12.75" customHeight="1">
      <c r="A39" s="141" t="s">
        <v>181</v>
      </c>
      <c r="B39" s="119">
        <f>('Page 3-Assumptions'!B42*1.02^1)*10*0.8</f>
        <v>2692.8</v>
      </c>
      <c r="C39" s="116"/>
      <c r="D39" s="116"/>
      <c r="E39" s="118">
        <f t="shared" si="2"/>
        <v>2692.8</v>
      </c>
      <c r="F39" s="4"/>
      <c r="G39" s="4"/>
      <c r="H39" s="4"/>
      <c r="I39" s="4"/>
      <c r="J39" s="4"/>
      <c r="K39" s="4"/>
      <c r="L39" s="4"/>
      <c r="M39" s="4"/>
      <c r="N39" s="4"/>
      <c r="O39" s="4"/>
      <c r="P39" s="4"/>
      <c r="Q39" s="4"/>
      <c r="R39" s="4"/>
      <c r="S39" s="4"/>
      <c r="T39" s="4"/>
      <c r="U39" s="4"/>
      <c r="V39" s="4"/>
      <c r="W39" s="4"/>
      <c r="X39" s="4"/>
      <c r="Y39" s="4"/>
    </row>
    <row r="40" spans="1:25" ht="12.75" customHeight="1">
      <c r="A40" s="141" t="s">
        <v>182</v>
      </c>
      <c r="B40" s="119">
        <f>'Page 5-Year 1'!B40</f>
        <v>0</v>
      </c>
      <c r="C40" s="116"/>
      <c r="D40" s="116"/>
      <c r="E40" s="118">
        <f t="shared" si="2"/>
        <v>0</v>
      </c>
      <c r="F40" s="4"/>
      <c r="G40" s="4"/>
      <c r="H40" s="4"/>
      <c r="I40" s="4"/>
      <c r="J40" s="4"/>
      <c r="K40" s="4"/>
      <c r="L40" s="4"/>
      <c r="M40" s="4"/>
      <c r="N40" s="4"/>
      <c r="O40" s="4"/>
      <c r="P40" s="4"/>
      <c r="Q40" s="4"/>
      <c r="R40" s="4"/>
      <c r="S40" s="4"/>
      <c r="T40" s="4"/>
      <c r="U40" s="4"/>
      <c r="V40" s="4"/>
      <c r="W40" s="4"/>
      <c r="X40" s="4"/>
      <c r="Y40" s="4"/>
    </row>
    <row r="41" spans="1:25" ht="12.75" customHeight="1">
      <c r="A41" s="141" t="s">
        <v>183</v>
      </c>
      <c r="B41" s="125">
        <v>84384</v>
      </c>
      <c r="C41" s="117"/>
      <c r="D41" s="116"/>
      <c r="E41" s="118">
        <f t="shared" si="2"/>
        <v>84384</v>
      </c>
      <c r="F41" s="4"/>
      <c r="G41" s="4"/>
      <c r="H41" s="4"/>
      <c r="I41" s="4"/>
      <c r="J41" s="4"/>
      <c r="K41" s="4"/>
      <c r="L41" s="4"/>
      <c r="M41" s="4"/>
      <c r="N41" s="4"/>
      <c r="O41" s="4"/>
      <c r="P41" s="4"/>
      <c r="Q41" s="4"/>
      <c r="R41" s="4"/>
      <c r="S41" s="4"/>
      <c r="T41" s="4"/>
      <c r="U41" s="4"/>
      <c r="V41" s="4"/>
      <c r="W41" s="4"/>
      <c r="X41" s="4"/>
      <c r="Y41" s="4"/>
    </row>
    <row r="42" spans="1:25" ht="12.75" customHeight="1">
      <c r="A42" s="141" t="s">
        <v>184</v>
      </c>
      <c r="B42" s="119">
        <v>2289</v>
      </c>
      <c r="C42" s="116"/>
      <c r="D42" s="116"/>
      <c r="E42" s="118">
        <f t="shared" si="2"/>
        <v>2289</v>
      </c>
      <c r="F42" s="4"/>
      <c r="G42" s="4"/>
      <c r="H42" s="4"/>
      <c r="I42" s="4"/>
      <c r="J42" s="4"/>
      <c r="K42" s="4"/>
      <c r="L42" s="4"/>
      <c r="M42" s="4"/>
      <c r="N42" s="4"/>
      <c r="O42" s="4"/>
      <c r="P42" s="4"/>
      <c r="Q42" s="4"/>
      <c r="R42" s="4"/>
      <c r="S42" s="4"/>
      <c r="T42" s="4"/>
      <c r="U42" s="4"/>
      <c r="V42" s="4"/>
      <c r="W42" s="4"/>
      <c r="X42" s="4"/>
      <c r="Y42" s="4"/>
    </row>
    <row r="43" spans="1:25" ht="12.75" customHeight="1">
      <c r="A43" s="141" t="s">
        <v>185</v>
      </c>
      <c r="B43" s="119">
        <v>25000</v>
      </c>
      <c r="C43" s="116"/>
      <c r="D43" s="116"/>
      <c r="E43" s="118">
        <f t="shared" si="2"/>
        <v>25000</v>
      </c>
      <c r="F43" s="4"/>
      <c r="G43" s="4"/>
      <c r="H43" s="4"/>
      <c r="I43" s="4"/>
      <c r="J43" s="4"/>
      <c r="K43" s="4"/>
      <c r="L43" s="4"/>
      <c r="M43" s="4"/>
      <c r="N43" s="4"/>
      <c r="O43" s="4"/>
      <c r="P43" s="4"/>
      <c r="Q43" s="4"/>
      <c r="R43" s="4"/>
      <c r="S43" s="4"/>
      <c r="T43" s="4"/>
      <c r="U43" s="4"/>
      <c r="V43" s="4"/>
      <c r="W43" s="4"/>
      <c r="X43" s="4"/>
      <c r="Y43" s="4"/>
    </row>
    <row r="44" spans="1:25" ht="12.75" customHeight="1">
      <c r="A44" s="141" t="s">
        <v>186</v>
      </c>
      <c r="B44" s="119">
        <v>1327</v>
      </c>
      <c r="C44" s="116"/>
      <c r="D44" s="116"/>
      <c r="E44" s="118">
        <f t="shared" si="2"/>
        <v>1327</v>
      </c>
      <c r="F44" s="4"/>
      <c r="G44" s="4"/>
      <c r="H44" s="4"/>
      <c r="I44" s="4"/>
      <c r="J44" s="4"/>
      <c r="K44" s="4"/>
      <c r="L44" s="4"/>
      <c r="M44" s="4"/>
      <c r="N44" s="4"/>
      <c r="O44" s="4"/>
      <c r="P44" s="4"/>
      <c r="Q44" s="4"/>
      <c r="R44" s="4"/>
      <c r="S44" s="4"/>
      <c r="T44" s="4"/>
      <c r="U44" s="4"/>
      <c r="V44" s="4"/>
      <c r="W44" s="4"/>
      <c r="X44" s="4"/>
      <c r="Y44" s="4"/>
    </row>
    <row r="45" spans="1:25" ht="12.75" customHeight="1">
      <c r="A45" s="141" t="s">
        <v>187</v>
      </c>
      <c r="B45" s="116">
        <v>2000</v>
      </c>
      <c r="C45" s="116"/>
      <c r="D45" s="116">
        <f>'Support-CDE start-up grant'!D11</f>
        <v>0</v>
      </c>
      <c r="E45" s="118">
        <f t="shared" si="2"/>
        <v>2000</v>
      </c>
      <c r="F45" s="4"/>
      <c r="G45" s="4"/>
      <c r="H45" s="4"/>
      <c r="I45" s="4"/>
      <c r="J45" s="4"/>
      <c r="K45" s="4"/>
      <c r="L45" s="4"/>
      <c r="M45" s="4"/>
      <c r="N45" s="4"/>
      <c r="O45" s="4"/>
      <c r="P45" s="4"/>
      <c r="Q45" s="4"/>
      <c r="R45" s="4"/>
      <c r="S45" s="4"/>
      <c r="T45" s="4"/>
      <c r="U45" s="4"/>
      <c r="V45" s="4"/>
      <c r="W45" s="4"/>
      <c r="X45" s="4"/>
      <c r="Y45" s="4"/>
    </row>
    <row r="46" spans="1:25" ht="12.75" customHeight="1">
      <c r="A46" s="141" t="s">
        <v>188</v>
      </c>
      <c r="B46" s="116">
        <v>20200</v>
      </c>
      <c r="C46" s="116"/>
      <c r="D46" s="116">
        <f>'Support-CDE start-up grant'!D10</f>
        <v>0</v>
      </c>
      <c r="E46" s="118">
        <f t="shared" si="2"/>
        <v>20200</v>
      </c>
      <c r="F46" s="4"/>
      <c r="G46" s="4"/>
      <c r="H46" s="4"/>
      <c r="I46" s="4"/>
      <c r="J46" s="4"/>
      <c r="K46" s="4"/>
      <c r="L46" s="4"/>
      <c r="M46" s="4"/>
      <c r="N46" s="4"/>
      <c r="O46" s="4"/>
      <c r="P46" s="4"/>
      <c r="Q46" s="4"/>
      <c r="R46" s="4"/>
      <c r="S46" s="4"/>
      <c r="T46" s="4"/>
      <c r="U46" s="4"/>
      <c r="V46" s="4"/>
      <c r="W46" s="4"/>
      <c r="X46" s="4"/>
      <c r="Y46" s="4"/>
    </row>
    <row r="47" spans="1:25" ht="12.75" customHeight="1">
      <c r="A47" s="141" t="s">
        <v>189</v>
      </c>
      <c r="B47" s="116">
        <v>0</v>
      </c>
      <c r="C47" s="116">
        <f>SUM(C16:C24)</f>
        <v>29955.16</v>
      </c>
      <c r="D47" s="116" t="s">
        <v>0</v>
      </c>
      <c r="E47" s="118">
        <f t="shared" si="2"/>
        <v>29955.16</v>
      </c>
      <c r="F47" s="4"/>
      <c r="G47" s="4"/>
      <c r="H47" s="4"/>
      <c r="I47" s="4"/>
      <c r="J47" s="4"/>
      <c r="K47" s="4"/>
      <c r="L47" s="4"/>
      <c r="M47" s="4"/>
      <c r="N47" s="4"/>
      <c r="O47" s="4"/>
      <c r="P47" s="4"/>
      <c r="Q47" s="4"/>
      <c r="R47" s="4"/>
      <c r="S47" s="4"/>
      <c r="T47" s="4"/>
      <c r="U47" s="4"/>
      <c r="V47" s="4"/>
      <c r="W47" s="4"/>
      <c r="X47" s="4"/>
      <c r="Y47" s="4"/>
    </row>
    <row r="48" spans="1:25" ht="12.75" customHeight="1">
      <c r="A48" s="141" t="s">
        <v>190</v>
      </c>
      <c r="B48" s="116">
        <v>5000</v>
      </c>
      <c r="C48" s="116"/>
      <c r="D48" s="116">
        <f>'Support-CDE start-up grant'!D12</f>
        <v>0</v>
      </c>
      <c r="E48" s="118">
        <f t="shared" si="2"/>
        <v>5000</v>
      </c>
      <c r="F48" s="4"/>
      <c r="G48" s="4"/>
      <c r="H48" s="4"/>
      <c r="I48" s="4"/>
      <c r="J48" s="4"/>
      <c r="K48" s="4"/>
      <c r="L48" s="4"/>
      <c r="M48" s="4"/>
      <c r="N48" s="4"/>
      <c r="O48" s="4"/>
      <c r="P48" s="4"/>
      <c r="Q48" s="4"/>
      <c r="R48" s="4"/>
      <c r="S48" s="4"/>
      <c r="T48" s="4"/>
      <c r="U48" s="4"/>
      <c r="V48" s="4"/>
      <c r="W48" s="4"/>
      <c r="X48" s="4"/>
      <c r="Y48" s="4"/>
    </row>
    <row r="49" spans="1:25" ht="12.75" customHeight="1">
      <c r="A49" s="141" t="s">
        <v>191</v>
      </c>
      <c r="B49" s="116">
        <f>330*12*2*1.02^2</f>
        <v>8239.9680000000008</v>
      </c>
      <c r="C49" s="117"/>
      <c r="D49" s="116"/>
      <c r="E49" s="118">
        <f t="shared" si="2"/>
        <v>8239.9680000000008</v>
      </c>
      <c r="F49" s="4"/>
      <c r="G49" s="4"/>
      <c r="H49" s="4"/>
      <c r="I49" s="4"/>
      <c r="J49" s="4"/>
      <c r="K49" s="4"/>
      <c r="L49" s="4"/>
      <c r="M49" s="4"/>
      <c r="N49" s="4"/>
      <c r="O49" s="4"/>
      <c r="P49" s="4"/>
      <c r="Q49" s="4"/>
      <c r="R49" s="4"/>
      <c r="S49" s="4"/>
      <c r="T49" s="4"/>
      <c r="U49" s="4"/>
      <c r="V49" s="4"/>
      <c r="W49" s="4"/>
      <c r="X49" s="4"/>
      <c r="Y49" s="4"/>
    </row>
    <row r="50" spans="1:25" ht="12.75" customHeight="1">
      <c r="A50" s="141" t="s">
        <v>192</v>
      </c>
      <c r="B50" s="116">
        <f>'Page 5-Year 1'!B50*1.05</f>
        <v>0</v>
      </c>
      <c r="C50" s="116"/>
      <c r="D50" s="116"/>
      <c r="E50" s="118">
        <f t="shared" si="2"/>
        <v>0</v>
      </c>
      <c r="F50" s="4"/>
      <c r="G50" s="4"/>
      <c r="H50" s="4"/>
      <c r="I50" s="4"/>
      <c r="J50" s="4"/>
      <c r="K50" s="4"/>
      <c r="L50" s="4"/>
      <c r="M50" s="4"/>
      <c r="N50" s="4"/>
      <c r="O50" s="4"/>
      <c r="P50" s="4"/>
      <c r="Q50" s="4"/>
      <c r="R50" s="4"/>
      <c r="S50" s="4"/>
      <c r="T50" s="4"/>
      <c r="U50" s="4"/>
      <c r="V50" s="4"/>
      <c r="W50" s="4"/>
      <c r="X50" s="4"/>
      <c r="Y50" s="4"/>
    </row>
    <row r="51" spans="1:25" ht="12.75" customHeight="1">
      <c r="A51" s="141" t="s">
        <v>193</v>
      </c>
      <c r="B51" s="116">
        <f>0.05*B52</f>
        <v>2670</v>
      </c>
      <c r="C51" s="116"/>
      <c r="D51" s="116"/>
      <c r="E51" s="118">
        <f t="shared" si="2"/>
        <v>2670</v>
      </c>
      <c r="F51" s="4"/>
      <c r="G51" s="4"/>
      <c r="H51" s="4"/>
      <c r="I51" s="4"/>
      <c r="J51" s="4"/>
      <c r="K51" s="4"/>
      <c r="L51" s="4"/>
      <c r="M51" s="4"/>
      <c r="N51" s="4"/>
      <c r="O51" s="4"/>
      <c r="P51" s="4"/>
      <c r="Q51" s="4"/>
      <c r="R51" s="4"/>
      <c r="S51" s="4"/>
      <c r="T51" s="4"/>
      <c r="U51" s="4"/>
      <c r="V51" s="4"/>
      <c r="W51" s="4"/>
      <c r="X51" s="4"/>
      <c r="Y51" s="4"/>
    </row>
    <row r="52" spans="1:25" ht="21" customHeight="1">
      <c r="A52" s="141" t="s">
        <v>194</v>
      </c>
      <c r="B52" s="119">
        <v>53400</v>
      </c>
      <c r="C52" s="116"/>
      <c r="D52" s="116"/>
      <c r="E52" s="118">
        <f t="shared" si="2"/>
        <v>53400</v>
      </c>
      <c r="F52" s="4"/>
      <c r="G52" s="4"/>
      <c r="H52" s="4"/>
      <c r="I52" s="4"/>
      <c r="J52" s="4"/>
      <c r="K52" s="4"/>
      <c r="L52" s="4"/>
      <c r="M52" s="4"/>
      <c r="N52" s="4"/>
      <c r="O52" s="4"/>
      <c r="P52" s="4"/>
      <c r="Q52" s="4"/>
      <c r="R52" s="4"/>
      <c r="S52" s="4"/>
      <c r="T52" s="4"/>
      <c r="U52" s="4"/>
      <c r="V52" s="4"/>
      <c r="W52" s="4"/>
      <c r="X52" s="4"/>
      <c r="Y52" s="4"/>
    </row>
    <row r="53" spans="1:25" ht="12.75" customHeight="1">
      <c r="A53" s="141" t="s">
        <v>195</v>
      </c>
      <c r="B53" s="119">
        <v>2000</v>
      </c>
      <c r="C53" s="116"/>
      <c r="D53" s="116"/>
      <c r="E53" s="118">
        <f t="shared" si="2"/>
        <v>2000</v>
      </c>
      <c r="F53" s="4"/>
      <c r="G53" s="4"/>
      <c r="H53" s="4"/>
      <c r="I53" s="4"/>
      <c r="J53" s="4"/>
      <c r="K53" s="4"/>
      <c r="L53" s="4"/>
      <c r="M53" s="4"/>
      <c r="N53" s="4"/>
      <c r="O53" s="4"/>
      <c r="P53" s="4"/>
      <c r="Q53" s="4"/>
      <c r="R53" s="4"/>
      <c r="S53" s="4"/>
      <c r="T53" s="4"/>
      <c r="U53" s="4"/>
      <c r="V53" s="4"/>
      <c r="W53" s="4"/>
      <c r="X53" s="4"/>
      <c r="Y53" s="4"/>
    </row>
    <row r="54" spans="1:25" ht="12.75" customHeight="1">
      <c r="A54" s="141" t="s">
        <v>196</v>
      </c>
      <c r="B54" s="119">
        <f>'Page 3-Assumptions'!D35</f>
        <v>12784.4352</v>
      </c>
      <c r="C54" s="116"/>
      <c r="D54" s="116"/>
      <c r="E54" s="118">
        <f t="shared" si="2"/>
        <v>12784.4352</v>
      </c>
      <c r="F54" s="4"/>
      <c r="G54" s="4"/>
      <c r="H54" s="4"/>
      <c r="I54" s="4"/>
      <c r="J54" s="4"/>
      <c r="K54" s="4"/>
      <c r="L54" s="4"/>
      <c r="M54" s="4"/>
      <c r="N54" s="4"/>
      <c r="O54" s="4"/>
      <c r="P54" s="4"/>
      <c r="Q54" s="4"/>
      <c r="R54" s="4"/>
      <c r="S54" s="4"/>
      <c r="T54" s="4"/>
      <c r="U54" s="4"/>
      <c r="V54" s="4"/>
      <c r="W54" s="4"/>
      <c r="X54" s="4"/>
      <c r="Y54" s="4"/>
    </row>
    <row r="55" spans="1:25" ht="12.75" customHeight="1">
      <c r="A55" s="141" t="s">
        <v>197</v>
      </c>
      <c r="B55" s="119">
        <f>'Page 3-Assumptions'!$D$34*(E33+E34)</f>
        <v>1893.48</v>
      </c>
      <c r="C55" s="116"/>
      <c r="D55" s="116"/>
      <c r="E55" s="118">
        <f t="shared" si="2"/>
        <v>1893.48</v>
      </c>
      <c r="F55" s="4"/>
      <c r="G55" s="4"/>
      <c r="H55" s="4"/>
      <c r="I55" s="4"/>
      <c r="J55" s="4"/>
      <c r="K55" s="4"/>
      <c r="L55" s="4"/>
      <c r="M55" s="4"/>
      <c r="N55" s="4"/>
      <c r="O55" s="4"/>
      <c r="P55" s="4"/>
      <c r="Q55" s="4"/>
      <c r="R55" s="4"/>
      <c r="S55" s="4"/>
      <c r="T55" s="4"/>
      <c r="U55" s="4"/>
      <c r="V55" s="4"/>
      <c r="W55" s="4"/>
      <c r="X55" s="4"/>
      <c r="Y55" s="4"/>
    </row>
    <row r="56" spans="1:25" ht="12.75" customHeight="1">
      <c r="A56" s="141" t="s">
        <v>198</v>
      </c>
      <c r="B56" s="119">
        <f>((E33+E34)/100)*2</f>
        <v>12623.2</v>
      </c>
      <c r="C56" s="116"/>
      <c r="D56" s="116"/>
      <c r="E56" s="118">
        <f t="shared" si="2"/>
        <v>12623.2</v>
      </c>
      <c r="F56" s="4"/>
      <c r="G56" s="4"/>
      <c r="H56" s="4"/>
      <c r="I56" s="4"/>
      <c r="J56" s="4"/>
      <c r="K56" s="4"/>
      <c r="L56" s="4"/>
      <c r="M56" s="4"/>
      <c r="N56" s="4"/>
      <c r="O56" s="4"/>
      <c r="P56" s="4"/>
      <c r="Q56" s="4"/>
      <c r="R56" s="4"/>
      <c r="S56" s="4"/>
      <c r="T56" s="4"/>
      <c r="U56" s="4"/>
      <c r="V56" s="4"/>
      <c r="W56" s="4"/>
      <c r="X56" s="4"/>
      <c r="Y56" s="4"/>
    </row>
    <row r="57" spans="1:25" ht="12.75" customHeight="1">
      <c r="A57" s="141" t="s">
        <v>199</v>
      </c>
      <c r="B57" s="116">
        <f>'Page 5-Year 1'!B57*1.05</f>
        <v>0</v>
      </c>
      <c r="C57" s="116"/>
      <c r="D57" s="116"/>
      <c r="E57" s="118">
        <f t="shared" si="2"/>
        <v>0</v>
      </c>
      <c r="F57" s="4"/>
      <c r="G57" s="4"/>
      <c r="H57" s="4"/>
      <c r="I57" s="4"/>
      <c r="J57" s="4"/>
      <c r="K57" s="4"/>
      <c r="L57" s="4"/>
      <c r="M57" s="4"/>
      <c r="N57" s="4"/>
      <c r="O57" s="4"/>
      <c r="P57" s="4"/>
      <c r="Q57" s="4"/>
      <c r="R57" s="4"/>
      <c r="S57" s="4"/>
      <c r="T57" s="4"/>
      <c r="U57" s="4"/>
      <c r="V57" s="4"/>
      <c r="W57" s="4"/>
      <c r="X57" s="4"/>
      <c r="Y57" s="4"/>
    </row>
    <row r="58" spans="1:25" ht="12.75" customHeight="1">
      <c r="A58" s="141" t="s">
        <v>200</v>
      </c>
      <c r="B58" s="125">
        <v>38000</v>
      </c>
      <c r="C58" s="116"/>
      <c r="D58" s="116"/>
      <c r="E58" s="118">
        <f t="shared" si="2"/>
        <v>38000</v>
      </c>
      <c r="F58" s="4"/>
      <c r="G58" s="4"/>
      <c r="H58" s="4"/>
      <c r="I58" s="4"/>
      <c r="J58" s="4"/>
      <c r="K58" s="4"/>
      <c r="L58" s="4"/>
      <c r="M58" s="4"/>
      <c r="N58" s="4"/>
      <c r="O58" s="4"/>
      <c r="P58" s="4"/>
      <c r="Q58" s="4"/>
      <c r="R58" s="4"/>
      <c r="S58" s="4"/>
      <c r="T58" s="4"/>
      <c r="U58" s="4"/>
      <c r="V58" s="4"/>
      <c r="W58" s="4"/>
      <c r="X58" s="4"/>
      <c r="Y58" s="4"/>
    </row>
    <row r="59" spans="1:25" ht="12.75" customHeight="1">
      <c r="A59" s="141" t="s">
        <v>201</v>
      </c>
      <c r="B59" s="119">
        <v>5000</v>
      </c>
      <c r="C59" s="116"/>
      <c r="D59" s="116">
        <f>'Support-CDE start-up grant'!D13</f>
        <v>0</v>
      </c>
      <c r="E59" s="118">
        <f t="shared" si="2"/>
        <v>5000</v>
      </c>
      <c r="F59" s="4"/>
      <c r="G59" s="4"/>
      <c r="H59" s="4"/>
      <c r="I59" s="4"/>
      <c r="J59" s="4"/>
      <c r="K59" s="4"/>
      <c r="L59" s="4"/>
      <c r="M59" s="4"/>
      <c r="N59" s="4"/>
      <c r="O59" s="4"/>
      <c r="P59" s="4"/>
      <c r="Q59" s="4"/>
      <c r="R59" s="4"/>
      <c r="S59" s="4"/>
      <c r="T59" s="4"/>
      <c r="U59" s="4"/>
      <c r="V59" s="4"/>
      <c r="W59" s="4"/>
      <c r="X59" s="4"/>
      <c r="Y59" s="4"/>
    </row>
    <row r="60" spans="1:25" ht="12.75" customHeight="1">
      <c r="A60" s="141" t="s">
        <v>202</v>
      </c>
      <c r="B60" s="119">
        <f>'Page 2-Staffing Plan'!D37*'Page 3-Assumptions'!$B$44*0</f>
        <v>0</v>
      </c>
      <c r="C60" s="116"/>
      <c r="D60" s="156">
        <f>'Support-CDE start-up grant'!D14</f>
        <v>0</v>
      </c>
      <c r="E60" s="118">
        <f t="shared" si="2"/>
        <v>0</v>
      </c>
      <c r="F60" s="4"/>
      <c r="G60" s="4"/>
      <c r="H60" s="4"/>
      <c r="I60" s="4"/>
      <c r="J60" s="4"/>
      <c r="K60" s="4"/>
      <c r="L60" s="4"/>
      <c r="M60" s="4"/>
      <c r="N60" s="4"/>
      <c r="O60" s="4"/>
      <c r="P60" s="4"/>
      <c r="Q60" s="4"/>
      <c r="R60" s="4"/>
      <c r="S60" s="4"/>
      <c r="T60" s="4"/>
      <c r="U60" s="4"/>
      <c r="V60" s="4"/>
      <c r="W60" s="4"/>
      <c r="X60" s="4"/>
      <c r="Y60" s="4"/>
    </row>
    <row r="61" spans="1:25" ht="12.75" customHeight="1">
      <c r="A61" s="327" t="s">
        <v>203</v>
      </c>
      <c r="B61" s="119">
        <f>B28*'Page 3-Assumptions'!D29</f>
        <v>21653.971280999991</v>
      </c>
      <c r="C61" s="116"/>
      <c r="D61" s="116"/>
      <c r="E61" s="118">
        <f t="shared" si="2"/>
        <v>21653.971280999991</v>
      </c>
      <c r="F61" s="4"/>
      <c r="G61" s="4"/>
      <c r="H61" s="4"/>
      <c r="I61" s="4"/>
      <c r="J61" s="4"/>
      <c r="K61" s="4"/>
      <c r="L61" s="4"/>
      <c r="M61" s="4"/>
      <c r="N61" s="4"/>
      <c r="O61" s="4"/>
      <c r="P61" s="4"/>
      <c r="Q61" s="4"/>
      <c r="R61" s="4"/>
      <c r="S61" s="4"/>
      <c r="T61" s="4"/>
      <c r="U61" s="4"/>
      <c r="V61" s="4"/>
      <c r="W61" s="4"/>
      <c r="X61" s="4"/>
      <c r="Y61" s="4"/>
    </row>
    <row r="62" spans="1:25" ht="12.75" customHeight="1">
      <c r="A62" s="141" t="s">
        <v>204</v>
      </c>
      <c r="B62" s="119">
        <f>B28*'Page 3-Assumptions'!D30</f>
        <v>7217.9904269999979</v>
      </c>
      <c r="C62" s="116"/>
      <c r="D62" s="116"/>
      <c r="E62" s="118">
        <f t="shared" si="2"/>
        <v>7217.9904269999979</v>
      </c>
      <c r="F62" s="4"/>
      <c r="G62" s="4"/>
      <c r="H62" s="4"/>
      <c r="I62" s="4"/>
      <c r="J62" s="4"/>
      <c r="K62" s="4"/>
      <c r="L62" s="4"/>
      <c r="M62" s="4"/>
      <c r="N62" s="4"/>
      <c r="O62" s="4"/>
      <c r="P62" s="4"/>
      <c r="Q62" s="4"/>
      <c r="R62" s="4"/>
      <c r="S62" s="4"/>
      <c r="T62" s="4"/>
      <c r="U62" s="4"/>
      <c r="V62" s="4"/>
      <c r="W62" s="4"/>
      <c r="X62" s="4"/>
      <c r="Y62" s="4"/>
    </row>
    <row r="63" spans="1:25" ht="12.75" customHeight="1">
      <c r="A63" s="141" t="s">
        <v>205</v>
      </c>
      <c r="B63" s="125">
        <v>30000</v>
      </c>
      <c r="C63" s="116"/>
      <c r="D63" s="116"/>
      <c r="E63" s="118">
        <f t="shared" si="2"/>
        <v>30000</v>
      </c>
      <c r="F63" s="4"/>
      <c r="G63" s="4"/>
      <c r="H63" s="4"/>
      <c r="I63" s="4"/>
      <c r="J63" s="4"/>
      <c r="K63" s="4"/>
      <c r="L63" s="4"/>
      <c r="M63" s="4"/>
      <c r="N63" s="4"/>
      <c r="O63" s="4"/>
      <c r="P63" s="4"/>
      <c r="Q63" s="4"/>
      <c r="R63" s="4"/>
      <c r="S63" s="4"/>
      <c r="T63" s="4"/>
      <c r="U63" s="4"/>
      <c r="V63" s="4"/>
      <c r="W63" s="4"/>
      <c r="X63" s="4"/>
      <c r="Y63" s="4"/>
    </row>
    <row r="64" spans="1:25" ht="12.75" customHeight="1">
      <c r="A64" s="141" t="s">
        <v>206</v>
      </c>
      <c r="B64" s="119">
        <v>1500</v>
      </c>
      <c r="C64" s="116"/>
      <c r="D64" s="116"/>
      <c r="E64" s="118">
        <f t="shared" si="2"/>
        <v>1500</v>
      </c>
      <c r="F64" s="4"/>
      <c r="G64" s="4"/>
      <c r="H64" s="4"/>
      <c r="I64" s="4"/>
      <c r="J64" s="4"/>
      <c r="K64" s="4"/>
      <c r="L64" s="4"/>
      <c r="M64" s="4"/>
      <c r="N64" s="4"/>
      <c r="O64" s="4"/>
      <c r="P64" s="4"/>
      <c r="Q64" s="4"/>
      <c r="R64" s="4"/>
      <c r="S64" s="4"/>
      <c r="T64" s="4"/>
      <c r="U64" s="4"/>
      <c r="V64" s="4"/>
      <c r="W64" s="4"/>
      <c r="X64" s="4"/>
      <c r="Y64" s="4"/>
    </row>
    <row r="65" spans="1:25" ht="12.75" customHeight="1">
      <c r="A65" s="141" t="s">
        <v>207</v>
      </c>
      <c r="B65" s="119">
        <f>2000*1.02^2</f>
        <v>2080.8000000000002</v>
      </c>
      <c r="C65" s="116"/>
      <c r="D65" s="116"/>
      <c r="E65" s="118">
        <f t="shared" si="2"/>
        <v>2080.8000000000002</v>
      </c>
      <c r="F65" s="4"/>
      <c r="G65" s="4"/>
      <c r="H65" s="4"/>
      <c r="I65" s="4"/>
      <c r="J65" s="4"/>
      <c r="K65" s="4"/>
      <c r="L65" s="4"/>
      <c r="M65" s="4"/>
      <c r="N65" s="4"/>
      <c r="O65" s="4"/>
      <c r="P65" s="4"/>
      <c r="Q65" s="4"/>
      <c r="R65" s="4"/>
      <c r="S65" s="4"/>
      <c r="T65" s="4"/>
      <c r="U65" s="4"/>
      <c r="V65" s="4"/>
      <c r="W65" s="4"/>
      <c r="X65" s="4"/>
      <c r="Y65" s="4"/>
    </row>
    <row r="66" spans="1:25" ht="12.75" customHeight="1">
      <c r="A66" s="141" t="s">
        <v>208</v>
      </c>
      <c r="B66" s="157">
        <v>5000</v>
      </c>
      <c r="C66" s="120"/>
      <c r="D66" s="120">
        <f>'Support-CDE start-up grant'!D15</f>
        <v>0</v>
      </c>
      <c r="E66" s="158">
        <f t="shared" si="2"/>
        <v>5000</v>
      </c>
      <c r="F66" s="4"/>
      <c r="G66" s="4"/>
      <c r="H66" s="4"/>
      <c r="I66" s="4"/>
      <c r="J66" s="4"/>
      <c r="K66" s="4"/>
      <c r="L66" s="4"/>
      <c r="M66" s="4"/>
      <c r="N66" s="4"/>
      <c r="O66" s="4"/>
      <c r="P66" s="4"/>
      <c r="Q66" s="4"/>
      <c r="R66" s="4"/>
      <c r="S66" s="4"/>
      <c r="T66" s="4"/>
      <c r="U66" s="4"/>
      <c r="V66" s="4"/>
      <c r="W66" s="4"/>
      <c r="X66" s="4"/>
      <c r="Y66" s="4"/>
    </row>
    <row r="67" spans="1:25" ht="12.75" customHeight="1">
      <c r="A67" s="141" t="s">
        <v>209</v>
      </c>
      <c r="B67" s="117">
        <f>'Page 5-Year 1'!B67*1.05</f>
        <v>0</v>
      </c>
      <c r="C67" s="116"/>
      <c r="D67" s="116"/>
      <c r="E67" s="118">
        <f t="shared" si="2"/>
        <v>0</v>
      </c>
      <c r="F67" s="4"/>
      <c r="G67" s="4"/>
      <c r="H67" s="4"/>
      <c r="I67" s="4"/>
      <c r="J67" s="4"/>
      <c r="K67" s="4"/>
      <c r="L67" s="4"/>
      <c r="M67" s="4"/>
      <c r="N67" s="4"/>
      <c r="O67" s="4"/>
      <c r="P67" s="4"/>
      <c r="Q67" s="4"/>
      <c r="R67" s="4"/>
      <c r="S67" s="4"/>
      <c r="T67" s="4"/>
      <c r="U67" s="4"/>
      <c r="V67" s="4"/>
      <c r="W67" s="4"/>
      <c r="X67" s="4"/>
      <c r="Y67" s="4"/>
    </row>
    <row r="68" spans="1:25" ht="12.75" customHeight="1">
      <c r="A68" s="141" t="s">
        <v>210</v>
      </c>
      <c r="B68" s="117">
        <v>100000</v>
      </c>
      <c r="C68" s="116"/>
      <c r="D68" s="116"/>
      <c r="E68" s="118">
        <f t="shared" si="2"/>
        <v>100000</v>
      </c>
      <c r="F68" s="4"/>
      <c r="G68" s="4"/>
      <c r="H68" s="4"/>
      <c r="I68" s="4"/>
      <c r="J68" s="4"/>
      <c r="K68" s="4"/>
      <c r="L68" s="4"/>
      <c r="M68" s="4"/>
      <c r="N68" s="4"/>
      <c r="O68" s="4"/>
      <c r="P68" s="4"/>
      <c r="Q68" s="4"/>
      <c r="R68" s="4"/>
      <c r="S68" s="4"/>
      <c r="T68" s="4"/>
      <c r="U68" s="4"/>
      <c r="V68" s="4"/>
      <c r="W68" s="4"/>
      <c r="X68" s="4"/>
      <c r="Y68" s="4"/>
    </row>
    <row r="69" spans="1:25" ht="12.75" customHeight="1">
      <c r="A69" s="141" t="s">
        <v>211</v>
      </c>
      <c r="B69" s="117">
        <v>20000</v>
      </c>
      <c r="C69" s="116"/>
      <c r="D69" s="116">
        <f>'Support-CDE start-up grant'!D16+'Support-CDE start-up grant'!D17+'Support-CDE start-up grant'!D18</f>
        <v>0</v>
      </c>
      <c r="E69" s="118">
        <f t="shared" si="2"/>
        <v>20000</v>
      </c>
      <c r="F69" s="4"/>
      <c r="G69" s="4"/>
      <c r="H69" s="4"/>
      <c r="I69" s="4"/>
      <c r="J69" s="4"/>
      <c r="K69" s="4"/>
      <c r="L69" s="4"/>
      <c r="M69" s="4"/>
      <c r="N69" s="4"/>
      <c r="O69" s="4"/>
      <c r="P69" s="4"/>
      <c r="Q69" s="4"/>
      <c r="R69" s="4"/>
      <c r="S69" s="4"/>
      <c r="T69" s="4"/>
      <c r="U69" s="4"/>
      <c r="V69" s="4"/>
      <c r="W69" s="4"/>
      <c r="X69" s="4"/>
      <c r="Y69" s="4"/>
    </row>
    <row r="70" spans="1:25" ht="12.75" customHeight="1">
      <c r="A70" s="141" t="s">
        <v>212</v>
      </c>
      <c r="B70" s="117"/>
      <c r="C70" s="116"/>
      <c r="D70" s="116">
        <f>'Support-CDE start-up grant'!D19+'Support-CDE start-up grant'!D20+'Support-CDE start-up grant'!D21</f>
        <v>0</v>
      </c>
      <c r="E70" s="118">
        <f t="shared" si="2"/>
        <v>0</v>
      </c>
      <c r="F70" s="4"/>
      <c r="G70" s="4"/>
      <c r="H70" s="4"/>
      <c r="I70" s="4"/>
      <c r="J70" s="4"/>
      <c r="K70" s="4"/>
      <c r="L70" s="4"/>
      <c r="M70" s="4"/>
      <c r="N70" s="4"/>
      <c r="O70" s="4"/>
      <c r="P70" s="4"/>
      <c r="Q70" s="4"/>
      <c r="R70" s="4"/>
      <c r="S70" s="4"/>
      <c r="T70" s="4"/>
      <c r="U70" s="4"/>
      <c r="V70" s="4"/>
      <c r="W70" s="4"/>
      <c r="X70" s="4"/>
      <c r="Y70" s="4"/>
    </row>
    <row r="71" spans="1:25" ht="12.75" customHeight="1">
      <c r="A71" s="141" t="s">
        <v>213</v>
      </c>
      <c r="B71" s="119">
        <v>2000</v>
      </c>
      <c r="C71" s="116"/>
      <c r="D71" s="116"/>
      <c r="E71" s="118">
        <f t="shared" si="2"/>
        <v>2000</v>
      </c>
      <c r="F71" s="4"/>
      <c r="G71" s="4"/>
      <c r="H71" s="4"/>
      <c r="I71" s="4"/>
      <c r="J71" s="4"/>
      <c r="K71" s="4"/>
      <c r="L71" s="4"/>
      <c r="M71" s="4"/>
      <c r="N71" s="4"/>
      <c r="O71" s="4"/>
      <c r="P71" s="4"/>
      <c r="Q71" s="4"/>
      <c r="R71" s="4"/>
      <c r="S71" s="4"/>
      <c r="T71" s="4"/>
      <c r="U71" s="4"/>
      <c r="V71" s="4"/>
      <c r="W71" s="4"/>
      <c r="X71" s="4"/>
      <c r="Y71" s="4"/>
    </row>
    <row r="72" spans="1:25" ht="12.75" customHeight="1">
      <c r="A72" s="141" t="s">
        <v>214</v>
      </c>
      <c r="B72" s="116">
        <v>10000</v>
      </c>
      <c r="C72" s="116"/>
      <c r="D72" s="116"/>
      <c r="E72" s="118">
        <f t="shared" si="2"/>
        <v>10000</v>
      </c>
      <c r="F72" s="4"/>
      <c r="G72" s="4"/>
      <c r="H72" s="4"/>
      <c r="I72" s="4"/>
      <c r="J72" s="4"/>
      <c r="K72" s="4"/>
      <c r="L72" s="4"/>
      <c r="M72" s="4"/>
      <c r="N72" s="4"/>
      <c r="O72" s="4"/>
      <c r="P72" s="4"/>
      <c r="Q72" s="4"/>
      <c r="R72" s="4"/>
      <c r="S72" s="4"/>
      <c r="T72" s="4"/>
      <c r="U72" s="4"/>
      <c r="V72" s="4"/>
      <c r="W72" s="4"/>
      <c r="X72" s="4"/>
      <c r="Y72" s="4"/>
    </row>
    <row r="73" spans="1:25" ht="12.75" customHeight="1">
      <c r="A73" s="141" t="s">
        <v>215</v>
      </c>
      <c r="B73" s="119">
        <f>('Page 3-Assumptions'!$B$56*'Page 1-Enrollment Plan'!C21)</f>
        <v>0</v>
      </c>
      <c r="C73" s="116"/>
      <c r="D73" s="116"/>
      <c r="E73" s="118">
        <f t="shared" si="2"/>
        <v>0</v>
      </c>
      <c r="F73" s="4"/>
      <c r="G73" s="4"/>
      <c r="H73" s="4"/>
      <c r="I73" s="4"/>
      <c r="J73" s="4"/>
      <c r="K73" s="4"/>
      <c r="L73" s="4"/>
      <c r="M73" s="4"/>
      <c r="N73" s="4"/>
      <c r="O73" s="4"/>
      <c r="P73" s="4"/>
      <c r="Q73" s="4"/>
      <c r="R73" s="4"/>
      <c r="S73" s="4"/>
      <c r="T73" s="4"/>
      <c r="U73" s="4"/>
      <c r="V73" s="4"/>
      <c r="W73" s="4"/>
      <c r="X73" s="4"/>
      <c r="Y73" s="4"/>
    </row>
    <row r="74" spans="1:25" ht="12.75" customHeight="1">
      <c r="A74" s="141" t="s">
        <v>234</v>
      </c>
      <c r="B74" s="119">
        <f>0.02*B30</f>
        <v>28407.529471599995</v>
      </c>
      <c r="C74" s="333"/>
      <c r="D74" s="333"/>
      <c r="E74" s="118">
        <f t="shared" si="2"/>
        <v>28407.529471599995</v>
      </c>
      <c r="F74" s="4"/>
      <c r="G74" s="4"/>
      <c r="H74" s="4"/>
      <c r="I74" s="4"/>
      <c r="J74" s="4"/>
      <c r="K74" s="4"/>
      <c r="L74" s="4"/>
      <c r="M74" s="4"/>
      <c r="N74" s="4"/>
      <c r="O74" s="4"/>
      <c r="P74" s="4"/>
      <c r="Q74" s="4"/>
      <c r="R74" s="4"/>
      <c r="S74" s="4"/>
      <c r="T74" s="4"/>
      <c r="U74" s="4"/>
      <c r="V74" s="4"/>
      <c r="W74" s="4"/>
      <c r="X74" s="4"/>
      <c r="Y74" s="4"/>
    </row>
    <row r="75" spans="1:25" ht="12.75" customHeight="1">
      <c r="A75" s="141" t="s">
        <v>235</v>
      </c>
      <c r="B75" s="119">
        <v>6600</v>
      </c>
      <c r="C75" s="116"/>
      <c r="D75" s="116"/>
      <c r="E75" s="118">
        <f t="shared" si="2"/>
        <v>6600</v>
      </c>
      <c r="F75" s="4"/>
      <c r="G75" s="4"/>
      <c r="H75" s="4"/>
      <c r="I75" s="4"/>
      <c r="J75" s="4"/>
      <c r="K75" s="4"/>
      <c r="L75" s="4"/>
      <c r="M75" s="4"/>
      <c r="N75" s="4"/>
      <c r="O75" s="4"/>
      <c r="P75" s="4"/>
      <c r="Q75" s="4"/>
      <c r="R75" s="4"/>
      <c r="S75" s="4"/>
      <c r="T75" s="4"/>
      <c r="U75" s="4"/>
      <c r="V75" s="4"/>
      <c r="W75" s="4"/>
      <c r="X75" s="4"/>
      <c r="Y75" s="4"/>
    </row>
    <row r="76" spans="1:25" ht="12.75" customHeight="1">
      <c r="A76" s="141" t="s">
        <v>236</v>
      </c>
      <c r="B76" s="119"/>
      <c r="C76" s="116"/>
      <c r="D76" s="116"/>
      <c r="E76" s="118">
        <f t="shared" si="2"/>
        <v>0</v>
      </c>
      <c r="F76" s="4"/>
      <c r="G76" s="4"/>
      <c r="H76" s="4"/>
      <c r="I76" s="4"/>
      <c r="J76" s="4"/>
      <c r="K76" s="4"/>
      <c r="L76" s="4"/>
      <c r="M76" s="4"/>
      <c r="N76" s="4"/>
      <c r="O76" s="4"/>
      <c r="P76" s="4"/>
      <c r="Q76" s="4"/>
      <c r="R76" s="4"/>
      <c r="S76" s="4"/>
      <c r="T76" s="4"/>
      <c r="U76" s="4"/>
      <c r="V76" s="4"/>
      <c r="W76" s="4"/>
      <c r="X76" s="4"/>
      <c r="Y76" s="4"/>
    </row>
    <row r="77" spans="1:25" ht="12.75" customHeight="1">
      <c r="A77" s="122" t="s">
        <v>217</v>
      </c>
      <c r="B77" s="123">
        <f>SUM(B33:B76)</f>
        <v>1338177.9343796</v>
      </c>
      <c r="C77" s="123">
        <f t="shared" ref="C77:D77" si="3">SUM(C33:C74)</f>
        <v>29955.16</v>
      </c>
      <c r="D77" s="123">
        <f t="shared" si="3"/>
        <v>0</v>
      </c>
      <c r="E77" s="123">
        <f>SUM(E33:E76)</f>
        <v>1368133.0943795999</v>
      </c>
      <c r="F77" s="4"/>
      <c r="G77" s="4"/>
      <c r="H77" s="4"/>
      <c r="I77" s="4"/>
      <c r="J77" s="4"/>
      <c r="K77" s="4"/>
      <c r="L77" s="4"/>
      <c r="M77" s="4"/>
      <c r="N77" s="4"/>
      <c r="O77" s="4"/>
      <c r="P77" s="4"/>
      <c r="Q77" s="4"/>
      <c r="R77" s="4"/>
      <c r="S77" s="4"/>
      <c r="T77" s="4"/>
      <c r="U77" s="4"/>
      <c r="V77" s="4"/>
      <c r="W77" s="4"/>
      <c r="X77" s="4"/>
      <c r="Y77" s="4"/>
    </row>
    <row r="78" spans="1:25" ht="12.75" customHeight="1">
      <c r="A78" s="336"/>
      <c r="B78" s="329"/>
      <c r="C78" s="329"/>
      <c r="D78" s="329"/>
      <c r="E78" s="330"/>
      <c r="F78" s="4"/>
      <c r="G78" s="4"/>
      <c r="H78" s="4"/>
      <c r="I78" s="4"/>
      <c r="J78" s="4"/>
      <c r="K78" s="4"/>
      <c r="L78" s="4"/>
      <c r="M78" s="4"/>
      <c r="N78" s="4"/>
      <c r="O78" s="4"/>
      <c r="P78" s="4"/>
      <c r="Q78" s="4"/>
      <c r="R78" s="4"/>
      <c r="S78" s="4"/>
      <c r="T78" s="4"/>
      <c r="U78" s="4"/>
      <c r="V78" s="4"/>
      <c r="W78" s="4"/>
      <c r="X78" s="4"/>
      <c r="Y78" s="4"/>
    </row>
    <row r="79" spans="1:25" ht="12.75" customHeight="1">
      <c r="A79" s="130" t="s">
        <v>218</v>
      </c>
      <c r="B79" s="123">
        <f t="shared" ref="B79:E79" si="4">B30-B77</f>
        <v>82198.539200399769</v>
      </c>
      <c r="C79" s="123">
        <f t="shared" si="4"/>
        <v>1500</v>
      </c>
      <c r="D79" s="123">
        <f t="shared" si="4"/>
        <v>0</v>
      </c>
      <c r="E79" s="123">
        <f t="shared" si="4"/>
        <v>83698.539200399769</v>
      </c>
      <c r="F79" s="4"/>
      <c r="G79" s="4"/>
      <c r="H79" s="4"/>
      <c r="I79" s="4"/>
      <c r="J79" s="4"/>
      <c r="K79" s="4"/>
      <c r="L79" s="4"/>
      <c r="M79" s="4"/>
      <c r="N79" s="4"/>
      <c r="O79" s="4"/>
      <c r="P79" s="4"/>
      <c r="Q79" s="4"/>
      <c r="R79" s="4"/>
      <c r="S79" s="4"/>
      <c r="T79" s="4"/>
      <c r="U79" s="4"/>
      <c r="V79" s="4"/>
      <c r="W79" s="4"/>
      <c r="X79" s="4"/>
      <c r="Y79" s="4"/>
    </row>
    <row r="80" spans="1:25" ht="12.75" customHeight="1">
      <c r="A80" s="335"/>
      <c r="B80" s="329"/>
      <c r="C80" s="329"/>
      <c r="D80" s="329"/>
      <c r="E80" s="330"/>
      <c r="F80" s="4"/>
      <c r="G80" s="4"/>
      <c r="H80" s="4"/>
      <c r="I80" s="4"/>
      <c r="J80" s="4"/>
      <c r="K80" s="4"/>
      <c r="L80" s="4"/>
      <c r="M80" s="4"/>
      <c r="N80" s="4"/>
      <c r="O80" s="4"/>
      <c r="P80" s="4"/>
      <c r="Q80" s="4"/>
      <c r="R80" s="4"/>
      <c r="S80" s="4"/>
      <c r="T80" s="4"/>
      <c r="U80" s="4"/>
      <c r="V80" s="4"/>
      <c r="W80" s="4"/>
      <c r="X80" s="4"/>
      <c r="Y80" s="4"/>
    </row>
    <row r="81" spans="1:25" ht="12.75" customHeight="1">
      <c r="A81" s="336" t="s">
        <v>219</v>
      </c>
      <c r="B81" s="329"/>
      <c r="C81" s="329"/>
      <c r="D81" s="133"/>
      <c r="E81" s="118">
        <f>SUM(B81:D81)</f>
        <v>0</v>
      </c>
      <c r="F81" s="4"/>
      <c r="G81" s="4"/>
      <c r="H81" s="4"/>
      <c r="I81" s="4"/>
      <c r="J81" s="4"/>
      <c r="K81" s="4"/>
      <c r="L81" s="4"/>
      <c r="M81" s="4"/>
      <c r="N81" s="4"/>
      <c r="O81" s="4"/>
      <c r="P81" s="4"/>
      <c r="Q81" s="4"/>
      <c r="R81" s="4"/>
      <c r="S81" s="4"/>
      <c r="T81" s="4"/>
      <c r="U81" s="4"/>
      <c r="V81" s="4"/>
      <c r="W81" s="4"/>
      <c r="X81" s="4"/>
      <c r="Y81" s="4"/>
    </row>
    <row r="82" spans="1:25" ht="12.75" hidden="1" customHeight="1">
      <c r="A82" s="327"/>
      <c r="B82" s="329"/>
      <c r="C82" s="329"/>
      <c r="D82" s="133"/>
      <c r="E82" s="330"/>
      <c r="F82" s="4"/>
      <c r="G82" s="4"/>
      <c r="H82" s="4"/>
      <c r="I82" s="4"/>
      <c r="J82" s="4"/>
      <c r="K82" s="4"/>
      <c r="L82" s="4"/>
      <c r="M82" s="4"/>
      <c r="N82" s="4"/>
      <c r="O82" s="4"/>
      <c r="P82" s="4"/>
      <c r="Q82" s="4"/>
      <c r="R82" s="4"/>
      <c r="S82" s="4"/>
      <c r="T82" s="4"/>
      <c r="U82" s="4"/>
      <c r="V82" s="4"/>
      <c r="W82" s="4"/>
      <c r="X82" s="4"/>
      <c r="Y82" s="4"/>
    </row>
    <row r="83" spans="1:25" ht="12.75" customHeight="1">
      <c r="A83" s="264"/>
      <c r="B83" s="348"/>
      <c r="C83" s="329"/>
      <c r="D83" s="329"/>
      <c r="E83" s="330"/>
      <c r="F83" s="4"/>
      <c r="G83" s="4"/>
      <c r="H83" s="4"/>
      <c r="I83" s="4"/>
      <c r="J83" s="4"/>
      <c r="K83" s="4"/>
      <c r="L83" s="4"/>
      <c r="M83" s="4"/>
      <c r="N83" s="4"/>
      <c r="O83" s="4"/>
      <c r="P83" s="4"/>
      <c r="Q83" s="4"/>
      <c r="R83" s="4"/>
      <c r="S83" s="4"/>
      <c r="T83" s="4"/>
      <c r="U83" s="4"/>
      <c r="V83" s="4"/>
      <c r="W83" s="4"/>
      <c r="X83" s="4"/>
      <c r="Y83" s="4"/>
    </row>
    <row r="84" spans="1:25" ht="12.75" customHeight="1">
      <c r="A84" s="155" t="s">
        <v>220</v>
      </c>
      <c r="B84" s="152">
        <f t="shared" ref="B84:D84" si="5">SUM(B79:B83)</f>
        <v>82198.539200399769</v>
      </c>
      <c r="C84" s="152">
        <f t="shared" si="5"/>
        <v>1500</v>
      </c>
      <c r="D84" s="152">
        <f t="shared" si="5"/>
        <v>0</v>
      </c>
      <c r="E84" s="152">
        <f>E79-E83</f>
        <v>83698.539200399769</v>
      </c>
      <c r="F84" s="4"/>
      <c r="G84" s="4"/>
      <c r="H84" s="4"/>
      <c r="I84" s="4"/>
      <c r="J84" s="4"/>
      <c r="K84" s="4"/>
      <c r="L84" s="4"/>
      <c r="M84" s="4"/>
      <c r="N84" s="4"/>
      <c r="O84" s="4"/>
      <c r="P84" s="4"/>
      <c r="Q84" s="4"/>
      <c r="R84" s="4"/>
      <c r="S84" s="4"/>
      <c r="T84" s="4"/>
      <c r="U84" s="4"/>
      <c r="V84" s="4"/>
      <c r="W84" s="4"/>
      <c r="X84" s="4"/>
      <c r="Y84" s="4"/>
    </row>
    <row r="85" spans="1:25" ht="12.75" customHeight="1">
      <c r="A85" s="343"/>
      <c r="B85" s="344"/>
      <c r="C85" s="344"/>
      <c r="D85" s="344"/>
      <c r="E85" s="153"/>
      <c r="F85" s="4"/>
      <c r="G85" s="4"/>
      <c r="H85" s="4"/>
      <c r="I85" s="4"/>
      <c r="J85" s="4"/>
      <c r="K85" s="4"/>
      <c r="L85" s="4"/>
      <c r="M85" s="4"/>
      <c r="N85" s="4"/>
      <c r="O85" s="4"/>
      <c r="P85" s="4"/>
      <c r="Q85" s="4"/>
      <c r="R85" s="4"/>
      <c r="S85" s="4"/>
      <c r="T85" s="4"/>
      <c r="U85" s="4"/>
      <c r="V85" s="4"/>
      <c r="W85" s="4"/>
      <c r="X85" s="4"/>
      <c r="Y85" s="4"/>
    </row>
    <row r="86" spans="1:25" ht="12.75" customHeight="1">
      <c r="A86" s="264" t="s">
        <v>221</v>
      </c>
      <c r="B86" s="258"/>
      <c r="C86" s="258"/>
      <c r="D86" s="258"/>
      <c r="E86" s="132">
        <f>'Page 5-Year 1'!E87</f>
        <v>39247.667720000143</v>
      </c>
      <c r="F86" s="4"/>
      <c r="G86" s="4"/>
      <c r="H86" s="4"/>
      <c r="I86" s="4"/>
      <c r="J86" s="4"/>
      <c r="K86" s="4"/>
      <c r="L86" s="4"/>
      <c r="M86" s="4"/>
      <c r="N86" s="4"/>
      <c r="O86" s="4"/>
      <c r="P86" s="4"/>
      <c r="Q86" s="4"/>
      <c r="R86" s="4"/>
      <c r="S86" s="4"/>
      <c r="T86" s="4"/>
      <c r="U86" s="4"/>
      <c r="V86" s="4"/>
      <c r="W86" s="4"/>
      <c r="X86" s="4"/>
      <c r="Y86" s="4"/>
    </row>
    <row r="87" spans="1:25" ht="12.75" customHeight="1">
      <c r="A87" s="264" t="s">
        <v>222</v>
      </c>
      <c r="B87" s="258"/>
      <c r="C87" s="258"/>
      <c r="D87" s="258"/>
      <c r="E87" s="132">
        <f>E86+E84</f>
        <v>122946.20692039991</v>
      </c>
      <c r="F87" s="4"/>
      <c r="G87" s="4"/>
      <c r="H87" s="4"/>
      <c r="I87" s="4"/>
      <c r="J87" s="4"/>
      <c r="K87" s="4"/>
      <c r="L87" s="4"/>
      <c r="M87" s="4"/>
      <c r="N87" s="4"/>
      <c r="O87" s="4"/>
      <c r="P87" s="4"/>
      <c r="Q87" s="4"/>
      <c r="R87" s="4"/>
      <c r="S87" s="4"/>
      <c r="T87" s="4"/>
      <c r="U87" s="4"/>
      <c r="V87" s="4"/>
      <c r="W87" s="4"/>
      <c r="X87" s="4"/>
      <c r="Y87" s="4"/>
    </row>
    <row r="88" spans="1:25" ht="33.75" customHeight="1">
      <c r="A88" s="338" t="s">
        <v>223</v>
      </c>
      <c r="B88" s="258"/>
      <c r="C88" s="258"/>
      <c r="D88" s="258"/>
      <c r="E88" s="133">
        <f>B97</f>
        <v>49745.338031387997</v>
      </c>
      <c r="F88" s="4"/>
      <c r="G88" s="4"/>
      <c r="H88" s="4"/>
      <c r="I88" s="4"/>
      <c r="J88" s="4"/>
      <c r="K88" s="4"/>
      <c r="L88" s="4"/>
      <c r="M88" s="4"/>
      <c r="N88" s="4"/>
      <c r="O88" s="4"/>
      <c r="P88" s="4"/>
      <c r="Q88" s="4"/>
      <c r="R88" s="4"/>
      <c r="S88" s="4"/>
      <c r="T88" s="4"/>
      <c r="U88" s="4"/>
      <c r="V88" s="4"/>
      <c r="W88" s="4"/>
      <c r="X88" s="4"/>
      <c r="Y88" s="4"/>
    </row>
    <row r="89" spans="1:25" ht="12.75" customHeight="1">
      <c r="A89" s="338" t="s">
        <v>224</v>
      </c>
      <c r="B89" s="258"/>
      <c r="C89" s="258"/>
      <c r="D89" s="258"/>
      <c r="E89" s="133">
        <f>E87-E88</f>
        <v>73200.868889011908</v>
      </c>
      <c r="F89" s="4"/>
      <c r="G89" s="4"/>
      <c r="H89" s="4"/>
      <c r="I89" s="4"/>
      <c r="J89" s="4"/>
      <c r="K89" s="4"/>
      <c r="L89" s="4"/>
      <c r="M89" s="4"/>
      <c r="N89" s="4"/>
      <c r="O89" s="4"/>
      <c r="P89" s="4"/>
      <c r="Q89" s="4"/>
      <c r="R89" s="4"/>
      <c r="S89" s="4"/>
      <c r="T89" s="4"/>
      <c r="U89" s="4"/>
      <c r="V89" s="4"/>
      <c r="W89" s="4"/>
      <c r="X89" s="4"/>
      <c r="Y89" s="4"/>
    </row>
    <row r="90" spans="1:25" ht="12.75" customHeight="1">
      <c r="A90" s="338" t="s">
        <v>225</v>
      </c>
      <c r="B90" s="258"/>
      <c r="C90" s="258"/>
      <c r="D90" s="258"/>
      <c r="E90" s="134">
        <f>E89/E77</f>
        <v>5.3504201593928928E-2</v>
      </c>
      <c r="F90" s="4"/>
      <c r="G90" s="4"/>
      <c r="H90" s="4"/>
      <c r="I90" s="4"/>
      <c r="J90" s="4"/>
      <c r="K90" s="4"/>
      <c r="L90" s="4"/>
      <c r="M90" s="4"/>
      <c r="N90" s="4"/>
      <c r="O90" s="4"/>
      <c r="P90" s="4"/>
      <c r="Q90" s="4"/>
      <c r="R90" s="4"/>
      <c r="S90" s="4"/>
      <c r="T90" s="4"/>
      <c r="U90" s="4"/>
      <c r="V90" s="4"/>
      <c r="W90" s="4"/>
      <c r="X90" s="4"/>
      <c r="Y90" s="4"/>
    </row>
    <row r="91" spans="1:25" ht="12.75" customHeight="1">
      <c r="A91" s="135"/>
      <c r="B91" s="259"/>
      <c r="C91" s="259"/>
      <c r="D91" s="259"/>
      <c r="E91" s="57"/>
      <c r="F91" s="4"/>
      <c r="G91" s="4"/>
      <c r="H91" s="4"/>
      <c r="I91" s="4"/>
      <c r="J91" s="4"/>
      <c r="K91" s="4"/>
      <c r="L91" s="4"/>
      <c r="M91" s="4"/>
      <c r="N91" s="4"/>
      <c r="O91" s="4"/>
      <c r="P91" s="4"/>
      <c r="Q91" s="4"/>
      <c r="R91" s="4"/>
      <c r="S91" s="4"/>
      <c r="T91" s="4"/>
      <c r="U91" s="4"/>
      <c r="V91" s="4"/>
      <c r="W91" s="4"/>
      <c r="X91" s="4"/>
      <c r="Y91" s="4"/>
    </row>
    <row r="92" spans="1:25" ht="12.75" customHeight="1"/>
    <row r="93" spans="1:25" ht="12.75" customHeight="1"/>
    <row r="94" spans="1:25" ht="12.75" customHeight="1">
      <c r="A94" s="339" t="s">
        <v>226</v>
      </c>
      <c r="B94" s="136">
        <f>'Page 1-Enrollment Plan'!C21*100</f>
        <v>9600</v>
      </c>
    </row>
    <row r="95" spans="1:25" ht="12.75" customHeight="1">
      <c r="A95" s="339" t="s">
        <v>227</v>
      </c>
      <c r="B95" s="136">
        <f>B77*0.03</f>
        <v>40145.338031387997</v>
      </c>
    </row>
    <row r="96" spans="1:25" ht="12.75" customHeight="1">
      <c r="A96" s="339" t="s">
        <v>228</v>
      </c>
      <c r="B96" s="136">
        <v>0</v>
      </c>
    </row>
    <row r="97" spans="1:2" ht="12.75" customHeight="1">
      <c r="A97" s="339" t="s">
        <v>229</v>
      </c>
      <c r="B97" s="136">
        <f>SUM(B94:B96)</f>
        <v>49745.338031387997</v>
      </c>
    </row>
    <row r="98" spans="1:2" ht="12.75" customHeight="1"/>
    <row r="99" spans="1:2" ht="12.75" customHeight="1"/>
    <row r="100" spans="1:2" ht="12.75" customHeight="1"/>
    <row r="101" spans="1:2" ht="12.75" customHeight="1"/>
    <row r="102" spans="1:2" ht="12.75" customHeight="1"/>
    <row r="103" spans="1:2" ht="12.75" customHeight="1"/>
    <row r="104" spans="1:2" ht="12.75" customHeight="1"/>
    <row r="105" spans="1:2" ht="12.75" customHeight="1"/>
    <row r="106" spans="1:2" ht="12.75" customHeight="1"/>
    <row r="107" spans="1:2" ht="12.75" customHeight="1"/>
    <row r="108" spans="1:2" ht="12.75" customHeight="1"/>
    <row r="109" spans="1:2" ht="12.75" customHeight="1"/>
    <row r="110" spans="1:2" ht="12.75" customHeight="1"/>
    <row r="111" spans="1:2" ht="12.75" customHeight="1"/>
    <row r="112" spans="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B3:E3"/>
  </mergeCells>
  <printOptions horizontalCentered="1"/>
  <pageMargins left="0.25" right="0.25" top="0.4" bottom="0.69027777777777799"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1000"/>
  <sheetViews>
    <sheetView workbookViewId="0"/>
  </sheetViews>
  <sheetFormatPr defaultColWidth="12.5703125" defaultRowHeight="15" customHeight="1"/>
  <cols>
    <col min="1" max="1" width="40.5703125" customWidth="1"/>
    <col min="2" max="3" width="15.85546875" customWidth="1"/>
    <col min="4" max="4" width="15.85546875" hidden="1" customWidth="1"/>
    <col min="5" max="5" width="15.85546875" customWidth="1"/>
    <col min="6" max="25" width="8.5703125" customWidth="1"/>
  </cols>
  <sheetData>
    <row r="1" spans="1:25" ht="12.75" customHeight="1">
      <c r="A1" s="109">
        <f>'Page 3-Assumptions'!A1</f>
        <v>0</v>
      </c>
      <c r="B1" s="110"/>
      <c r="C1" s="110"/>
      <c r="D1" s="110"/>
      <c r="E1" s="111"/>
      <c r="F1" s="4"/>
      <c r="G1" s="4"/>
      <c r="H1" s="4"/>
      <c r="I1" s="4"/>
      <c r="J1" s="4"/>
      <c r="K1" s="4"/>
      <c r="L1" s="4"/>
      <c r="M1" s="4"/>
      <c r="N1" s="4"/>
      <c r="O1" s="4"/>
      <c r="P1" s="4"/>
      <c r="Q1" s="4"/>
      <c r="R1" s="4"/>
      <c r="S1" s="4"/>
      <c r="T1" s="4"/>
      <c r="U1" s="4"/>
      <c r="V1" s="4"/>
      <c r="W1" s="4"/>
      <c r="X1" s="4"/>
      <c r="Y1" s="4"/>
    </row>
    <row r="2" spans="1:25" ht="18.600000000000001">
      <c r="A2" s="321" t="str">
        <f>B3</f>
        <v>YEAR 3</v>
      </c>
      <c r="B2" s="258"/>
      <c r="C2" s="258"/>
      <c r="D2" s="258"/>
      <c r="E2" s="27"/>
      <c r="F2" s="4"/>
      <c r="G2" s="4"/>
      <c r="H2" s="4"/>
      <c r="I2" s="4"/>
      <c r="J2" s="4"/>
      <c r="K2" s="4"/>
      <c r="L2" s="4"/>
      <c r="M2" s="4"/>
      <c r="N2" s="4"/>
      <c r="O2" s="4"/>
      <c r="P2" s="4"/>
      <c r="Q2" s="4"/>
      <c r="R2" s="4"/>
      <c r="S2" s="4"/>
      <c r="T2" s="4"/>
      <c r="U2" s="4"/>
      <c r="V2" s="4"/>
      <c r="W2" s="4"/>
      <c r="X2" s="4"/>
      <c r="Y2" s="4"/>
    </row>
    <row r="3" spans="1:25" ht="12.75" customHeight="1">
      <c r="A3" s="322"/>
      <c r="B3" s="323" t="str">
        <f>'Page 10-6 yr Budget-detail'!E4</f>
        <v>YEAR 3</v>
      </c>
      <c r="C3" s="252"/>
      <c r="D3" s="252"/>
      <c r="E3" s="253"/>
      <c r="F3" s="112"/>
      <c r="G3" s="112"/>
      <c r="H3" s="112"/>
      <c r="I3" s="112"/>
      <c r="J3" s="112"/>
      <c r="K3" s="112"/>
      <c r="L3" s="112"/>
      <c r="M3" s="112"/>
      <c r="N3" s="112"/>
      <c r="O3" s="112"/>
      <c r="P3" s="112"/>
      <c r="Q3" s="112"/>
      <c r="R3" s="112"/>
      <c r="S3" s="112"/>
      <c r="T3" s="112"/>
      <c r="U3" s="112"/>
      <c r="V3" s="112"/>
      <c r="W3" s="112"/>
      <c r="X3" s="112"/>
      <c r="Y3" s="112"/>
    </row>
    <row r="4" spans="1:25" ht="12.75" customHeight="1">
      <c r="A4" s="256"/>
      <c r="B4" s="113" t="s">
        <v>153</v>
      </c>
      <c r="C4" s="113" t="s">
        <v>154</v>
      </c>
      <c r="D4" s="113" t="s">
        <v>231</v>
      </c>
      <c r="E4" s="159" t="s">
        <v>148</v>
      </c>
      <c r="F4" s="112"/>
      <c r="G4" s="112"/>
      <c r="H4" s="112"/>
      <c r="I4" s="112"/>
      <c r="J4" s="112"/>
      <c r="K4" s="112"/>
      <c r="L4" s="112"/>
      <c r="M4" s="112"/>
      <c r="N4" s="112"/>
      <c r="O4" s="112"/>
      <c r="P4" s="112"/>
      <c r="Q4" s="112"/>
      <c r="R4" s="112"/>
      <c r="S4" s="112"/>
      <c r="T4" s="112"/>
      <c r="U4" s="112"/>
      <c r="V4" s="112"/>
      <c r="W4" s="112"/>
      <c r="X4" s="112"/>
      <c r="Y4" s="112"/>
    </row>
    <row r="5" spans="1:25" ht="12.75" customHeight="1">
      <c r="A5" s="324" t="s">
        <v>155</v>
      </c>
      <c r="B5" s="325"/>
      <c r="C5" s="325"/>
      <c r="D5" s="325"/>
      <c r="E5" s="160">
        <f>'Page 1-Enrollment Plan'!D21</f>
        <v>144</v>
      </c>
      <c r="F5" s="112"/>
      <c r="G5" s="112"/>
      <c r="H5" s="112"/>
      <c r="I5" s="112"/>
      <c r="J5" s="112"/>
      <c r="K5" s="112"/>
      <c r="L5" s="112"/>
      <c r="M5" s="112"/>
      <c r="N5" s="112"/>
      <c r="O5" s="112"/>
      <c r="P5" s="112"/>
      <c r="Q5" s="112"/>
      <c r="R5" s="112"/>
      <c r="S5" s="112"/>
      <c r="T5" s="112"/>
      <c r="U5" s="112"/>
      <c r="V5" s="112"/>
      <c r="W5" s="112"/>
      <c r="X5" s="112"/>
      <c r="Y5" s="112"/>
    </row>
    <row r="6" spans="1:25" ht="12.75" customHeight="1">
      <c r="A6" s="324" t="s">
        <v>156</v>
      </c>
      <c r="B6" s="325"/>
      <c r="C6" s="325"/>
      <c r="D6" s="325"/>
      <c r="E6" s="161">
        <f>'Page 1-Enrollment Plan'!D23</f>
        <v>104</v>
      </c>
      <c r="F6" s="112"/>
      <c r="G6" s="112"/>
      <c r="H6" s="112"/>
      <c r="I6" s="112"/>
      <c r="J6" s="112"/>
      <c r="K6" s="112"/>
      <c r="L6" s="112"/>
      <c r="M6" s="112"/>
      <c r="N6" s="112"/>
      <c r="O6" s="112"/>
      <c r="P6" s="112"/>
      <c r="Q6" s="112"/>
      <c r="R6" s="112"/>
      <c r="S6" s="112"/>
      <c r="T6" s="112"/>
      <c r="U6" s="112"/>
      <c r="V6" s="112"/>
      <c r="W6" s="112"/>
      <c r="X6" s="112"/>
      <c r="Y6" s="112"/>
    </row>
    <row r="7" spans="1:25" ht="12.75" customHeight="1">
      <c r="A7" s="256" t="s">
        <v>53</v>
      </c>
      <c r="B7" s="325"/>
      <c r="C7" s="325"/>
      <c r="D7" s="325"/>
      <c r="E7" s="349"/>
      <c r="F7" s="112"/>
      <c r="G7" s="112"/>
      <c r="H7" s="112"/>
      <c r="I7" s="112"/>
      <c r="J7" s="112"/>
      <c r="K7" s="112"/>
      <c r="L7" s="112"/>
      <c r="M7" s="112"/>
      <c r="N7" s="112"/>
      <c r="O7" s="112"/>
      <c r="P7" s="112"/>
      <c r="Q7" s="112"/>
      <c r="R7" s="112"/>
      <c r="S7" s="112"/>
      <c r="T7" s="112"/>
      <c r="U7" s="112"/>
      <c r="V7" s="112"/>
      <c r="W7" s="112"/>
      <c r="X7" s="112"/>
      <c r="Y7" s="112"/>
    </row>
    <row r="8" spans="1:25" ht="33.75" customHeight="1">
      <c r="A8" s="141" t="s">
        <v>157</v>
      </c>
      <c r="B8" s="117"/>
      <c r="C8" s="117"/>
      <c r="D8" s="117"/>
      <c r="E8" s="123">
        <f t="shared" ref="E8:E29" si="0">SUM(B8:D8)</f>
        <v>0</v>
      </c>
      <c r="F8" s="4"/>
      <c r="G8" s="4"/>
      <c r="H8" s="4"/>
      <c r="I8" s="4"/>
      <c r="J8" s="4"/>
      <c r="K8" s="4"/>
      <c r="L8" s="4"/>
      <c r="M8" s="4"/>
      <c r="N8" s="4"/>
      <c r="O8" s="4"/>
      <c r="P8" s="4"/>
      <c r="Q8" s="4"/>
      <c r="R8" s="4"/>
      <c r="S8" s="4"/>
      <c r="T8" s="4"/>
      <c r="U8" s="4"/>
      <c r="V8" s="4"/>
      <c r="W8" s="4"/>
      <c r="X8" s="4"/>
      <c r="Y8" s="4"/>
    </row>
    <row r="9" spans="1:25" ht="12.75" customHeight="1">
      <c r="A9" s="141" t="s">
        <v>158</v>
      </c>
      <c r="B9" s="345">
        <v>211345.9</v>
      </c>
      <c r="C9" s="119">
        <v>0</v>
      </c>
      <c r="D9" s="119">
        <v>0</v>
      </c>
      <c r="E9" s="123">
        <f t="shared" si="0"/>
        <v>211345.9</v>
      </c>
      <c r="F9" s="4"/>
      <c r="G9" s="4"/>
      <c r="H9" s="4"/>
      <c r="I9" s="4"/>
      <c r="J9" s="4"/>
      <c r="K9" s="4"/>
      <c r="L9" s="4"/>
      <c r="M9" s="4"/>
      <c r="N9" s="4"/>
      <c r="O9" s="4"/>
      <c r="P9" s="4"/>
      <c r="Q9" s="4"/>
      <c r="R9" s="4"/>
      <c r="S9" s="4"/>
      <c r="T9" s="4"/>
      <c r="U9" s="4"/>
      <c r="V9" s="4"/>
      <c r="W9" s="4"/>
      <c r="X9" s="4"/>
      <c r="Y9" s="4"/>
    </row>
    <row r="10" spans="1:25" ht="12.75" customHeight="1">
      <c r="A10" s="141" t="s">
        <v>159</v>
      </c>
      <c r="B10" s="117"/>
      <c r="C10" s="116"/>
      <c r="D10" s="116"/>
      <c r="E10" s="123">
        <f t="shared" si="0"/>
        <v>0</v>
      </c>
      <c r="F10" s="4"/>
      <c r="G10" s="4"/>
      <c r="H10" s="4"/>
      <c r="I10" s="4"/>
      <c r="J10" s="4"/>
      <c r="K10" s="4"/>
      <c r="L10" s="4"/>
      <c r="M10" s="4"/>
      <c r="N10" s="4"/>
      <c r="O10" s="4"/>
      <c r="P10" s="4"/>
      <c r="Q10" s="4"/>
      <c r="R10" s="4"/>
      <c r="S10" s="4"/>
      <c r="T10" s="4"/>
      <c r="U10" s="4"/>
      <c r="V10" s="4"/>
      <c r="W10" s="4"/>
      <c r="X10" s="4"/>
      <c r="Y10" s="4"/>
    </row>
    <row r="11" spans="1:25" ht="12.75" customHeight="1">
      <c r="A11" s="141" t="s">
        <v>160</v>
      </c>
      <c r="B11" s="120"/>
      <c r="C11" s="116"/>
      <c r="D11" s="116"/>
      <c r="E11" s="123">
        <f t="shared" si="0"/>
        <v>0</v>
      </c>
      <c r="F11" s="4"/>
      <c r="G11" s="4"/>
      <c r="H11" s="4"/>
      <c r="I11" s="4"/>
      <c r="J11" s="4"/>
      <c r="K11" s="4"/>
      <c r="L11" s="4"/>
      <c r="M11" s="4"/>
      <c r="N11" s="4"/>
      <c r="O11" s="4"/>
      <c r="P11" s="4"/>
      <c r="Q11" s="4"/>
      <c r="R11" s="4"/>
      <c r="S11" s="4"/>
      <c r="T11" s="4"/>
      <c r="U11" s="4"/>
      <c r="V11" s="4"/>
      <c r="W11" s="4"/>
      <c r="X11" s="4"/>
      <c r="Y11" s="4"/>
    </row>
    <row r="12" spans="1:25" ht="12.75" customHeight="1">
      <c r="A12" s="141" t="s">
        <v>161</v>
      </c>
      <c r="B12" s="143">
        <f>1600*'Page 3-Assumptions'!D70</f>
        <v>76032</v>
      </c>
      <c r="C12" s="116"/>
      <c r="D12" s="116"/>
      <c r="E12" s="123">
        <f t="shared" si="0"/>
        <v>76032</v>
      </c>
      <c r="F12" s="4"/>
      <c r="G12" s="4"/>
      <c r="H12" s="4"/>
      <c r="I12" s="4"/>
      <c r="J12" s="4"/>
      <c r="K12" s="4"/>
      <c r="L12" s="4"/>
      <c r="M12" s="4"/>
      <c r="N12" s="4"/>
      <c r="O12" s="4"/>
      <c r="P12" s="4"/>
      <c r="Q12" s="4"/>
      <c r="R12" s="4"/>
      <c r="S12" s="4"/>
      <c r="T12" s="4"/>
      <c r="U12" s="4"/>
      <c r="V12" s="4"/>
      <c r="W12" s="4"/>
      <c r="X12" s="4"/>
      <c r="Y12" s="4"/>
    </row>
    <row r="13" spans="1:25" ht="12.75" customHeight="1">
      <c r="A13" s="141" t="s">
        <v>162</v>
      </c>
      <c r="B13" s="143">
        <f>2500*'Page 3-Assumptions'!D72</f>
        <v>180000</v>
      </c>
      <c r="C13" s="116"/>
      <c r="D13" s="116"/>
      <c r="E13" s="123">
        <f t="shared" si="0"/>
        <v>180000</v>
      </c>
      <c r="F13" s="4"/>
      <c r="G13" s="4"/>
      <c r="H13" s="4"/>
      <c r="I13" s="4"/>
      <c r="J13" s="4"/>
      <c r="K13" s="4"/>
      <c r="L13" s="4"/>
      <c r="M13" s="4"/>
      <c r="N13" s="4"/>
      <c r="O13" s="4"/>
      <c r="P13" s="4"/>
      <c r="Q13" s="4"/>
      <c r="R13" s="4"/>
      <c r="S13" s="4"/>
      <c r="T13" s="4"/>
      <c r="U13" s="4"/>
      <c r="V13" s="4"/>
      <c r="W13" s="4"/>
      <c r="X13" s="4"/>
      <c r="Y13" s="4"/>
    </row>
    <row r="14" spans="1:25" ht="12.75" customHeight="1">
      <c r="A14" s="327" t="s">
        <v>163</v>
      </c>
      <c r="B14" s="117"/>
      <c r="C14" s="116"/>
      <c r="D14" s="116"/>
      <c r="E14" s="123">
        <f t="shared" si="0"/>
        <v>0</v>
      </c>
      <c r="F14" s="4"/>
      <c r="G14" s="4"/>
      <c r="H14" s="4"/>
      <c r="I14" s="4"/>
      <c r="J14" s="4"/>
      <c r="K14" s="4"/>
      <c r="L14" s="4"/>
      <c r="M14" s="4"/>
      <c r="N14" s="4"/>
      <c r="O14" s="4"/>
      <c r="P14" s="4"/>
      <c r="Q14" s="4"/>
      <c r="R14" s="4"/>
      <c r="S14" s="4"/>
      <c r="T14" s="4"/>
      <c r="U14" s="4"/>
      <c r="V14" s="4"/>
      <c r="W14" s="4"/>
      <c r="X14" s="4"/>
      <c r="Y14" s="4"/>
    </row>
    <row r="15" spans="1:25" ht="12.75" customHeight="1">
      <c r="A15" s="350" t="s">
        <v>164</v>
      </c>
      <c r="B15" s="117">
        <f>E6*'Page 3-Assumptions'!E8</f>
        <v>30579.119999999995</v>
      </c>
      <c r="C15" s="119">
        <v>0</v>
      </c>
      <c r="D15" s="119">
        <v>0</v>
      </c>
      <c r="E15" s="123">
        <f t="shared" si="0"/>
        <v>30579.119999999995</v>
      </c>
      <c r="F15" s="4"/>
      <c r="G15" s="4"/>
      <c r="H15" s="4"/>
      <c r="I15" s="4"/>
      <c r="J15" s="4"/>
      <c r="K15" s="4"/>
      <c r="L15" s="4"/>
      <c r="M15" s="4"/>
      <c r="N15" s="4"/>
      <c r="O15" s="4"/>
      <c r="P15" s="4"/>
      <c r="Q15" s="4"/>
      <c r="R15" s="4"/>
      <c r="S15" s="4"/>
      <c r="T15" s="4"/>
      <c r="U15" s="4"/>
      <c r="V15" s="4"/>
      <c r="W15" s="4"/>
      <c r="X15" s="4"/>
      <c r="Y15" s="4"/>
    </row>
    <row r="16" spans="1:25" ht="12.75" customHeight="1">
      <c r="A16" s="350" t="s">
        <v>166</v>
      </c>
      <c r="B16" s="117">
        <f>'Page 3-Assumptions'!E9</f>
        <v>13552</v>
      </c>
      <c r="C16" s="119">
        <v>0</v>
      </c>
      <c r="D16" s="119">
        <v>0</v>
      </c>
      <c r="E16" s="123">
        <f t="shared" si="0"/>
        <v>13552</v>
      </c>
      <c r="F16" s="4"/>
      <c r="G16" s="4"/>
      <c r="H16" s="4"/>
      <c r="I16" s="4"/>
      <c r="J16" s="4"/>
      <c r="K16" s="4"/>
      <c r="L16" s="4"/>
      <c r="M16" s="4"/>
      <c r="N16" s="4"/>
      <c r="O16" s="4"/>
      <c r="P16" s="4"/>
      <c r="Q16" s="4"/>
      <c r="R16" s="4"/>
      <c r="S16" s="4"/>
      <c r="T16" s="4"/>
      <c r="U16" s="4"/>
      <c r="V16" s="4"/>
      <c r="W16" s="4"/>
      <c r="X16" s="4"/>
      <c r="Y16" s="4"/>
    </row>
    <row r="17" spans="1:25" ht="12.75" customHeight="1">
      <c r="A17" s="141" t="s">
        <v>74</v>
      </c>
      <c r="B17" s="117"/>
      <c r="C17" s="119">
        <f>'Page 3-Assumptions'!$E$11</f>
        <v>1597.8239999999998</v>
      </c>
      <c r="D17" s="119">
        <v>0</v>
      </c>
      <c r="E17" s="123">
        <f t="shared" si="0"/>
        <v>1597.8239999999998</v>
      </c>
      <c r="F17" s="4"/>
      <c r="G17" s="4"/>
      <c r="H17" s="4"/>
      <c r="I17" s="4"/>
      <c r="J17" s="4"/>
      <c r="K17" s="4"/>
      <c r="L17" s="4"/>
      <c r="M17" s="4"/>
      <c r="N17" s="4"/>
      <c r="O17" s="4"/>
      <c r="P17" s="4"/>
      <c r="Q17" s="4"/>
      <c r="R17" s="4"/>
      <c r="S17" s="4"/>
      <c r="T17" s="4"/>
      <c r="U17" s="4"/>
      <c r="V17" s="4"/>
      <c r="W17" s="4"/>
      <c r="X17" s="4"/>
      <c r="Y17" s="4"/>
    </row>
    <row r="18" spans="1:25" ht="12.75" customHeight="1">
      <c r="A18" s="340" t="s">
        <v>80</v>
      </c>
      <c r="B18" s="119">
        <f>'Page 3-Assumptions'!E14</f>
        <v>500</v>
      </c>
      <c r="C18" s="119">
        <v>0</v>
      </c>
      <c r="D18" s="119">
        <v>0</v>
      </c>
      <c r="E18" s="123">
        <f t="shared" si="0"/>
        <v>500</v>
      </c>
      <c r="F18" s="4"/>
      <c r="G18" s="4"/>
      <c r="H18" s="4"/>
      <c r="I18" s="4"/>
      <c r="J18" s="4"/>
      <c r="K18" s="4"/>
      <c r="L18" s="4"/>
      <c r="M18" s="4"/>
      <c r="N18" s="4"/>
      <c r="O18" s="4"/>
      <c r="P18" s="4"/>
      <c r="Q18" s="4"/>
      <c r="R18" s="4"/>
      <c r="S18" s="4"/>
      <c r="T18" s="4"/>
      <c r="U18" s="4"/>
      <c r="V18" s="4"/>
      <c r="W18" s="4"/>
      <c r="X18" s="4"/>
      <c r="Y18" s="4"/>
    </row>
    <row r="19" spans="1:25" ht="12.75" customHeight="1">
      <c r="A19" s="340" t="s">
        <v>168</v>
      </c>
      <c r="B19" s="117"/>
      <c r="C19" s="116"/>
      <c r="D19" s="116"/>
      <c r="E19" s="123">
        <f t="shared" si="0"/>
        <v>0</v>
      </c>
      <c r="F19" s="4"/>
      <c r="G19" s="4"/>
      <c r="H19" s="4"/>
      <c r="I19" s="4"/>
      <c r="J19" s="4"/>
      <c r="K19" s="4"/>
      <c r="L19" s="4"/>
      <c r="M19" s="4"/>
      <c r="N19" s="4"/>
      <c r="O19" s="4"/>
      <c r="P19" s="4"/>
      <c r="Q19" s="4"/>
      <c r="R19" s="4"/>
      <c r="S19" s="4"/>
      <c r="T19" s="4"/>
      <c r="U19" s="4"/>
      <c r="V19" s="4"/>
      <c r="W19" s="4"/>
      <c r="X19" s="4"/>
      <c r="Y19" s="4"/>
    </row>
    <row r="20" spans="1:25" ht="12.75" customHeight="1">
      <c r="A20" s="141" t="s">
        <v>82</v>
      </c>
      <c r="B20" s="117">
        <f>'Page 3-Assumptions'!E16</f>
        <v>9941.2000000000007</v>
      </c>
      <c r="C20" s="119">
        <v>0</v>
      </c>
      <c r="D20" s="119">
        <v>0</v>
      </c>
      <c r="E20" s="123">
        <f t="shared" si="0"/>
        <v>9941.2000000000007</v>
      </c>
      <c r="F20" s="4"/>
      <c r="G20" s="4"/>
      <c r="H20" s="4"/>
      <c r="I20" s="4"/>
      <c r="J20" s="4"/>
      <c r="K20" s="4"/>
      <c r="L20" s="4"/>
      <c r="M20" s="4"/>
      <c r="N20" s="4"/>
      <c r="O20" s="4"/>
      <c r="P20" s="4"/>
      <c r="Q20" s="4"/>
      <c r="R20" s="4"/>
      <c r="S20" s="4"/>
      <c r="T20" s="4"/>
      <c r="U20" s="4"/>
      <c r="V20" s="4"/>
      <c r="W20" s="4"/>
      <c r="X20" s="4"/>
      <c r="Y20" s="4"/>
    </row>
    <row r="21" spans="1:25" ht="12.75" customHeight="1">
      <c r="A21" s="141" t="s">
        <v>88</v>
      </c>
      <c r="B21" s="117">
        <f>'Page 3-Assumptions'!E18</f>
        <v>83200</v>
      </c>
      <c r="C21" s="119">
        <v>0</v>
      </c>
      <c r="D21" s="119">
        <v>0</v>
      </c>
      <c r="E21" s="123">
        <f t="shared" si="0"/>
        <v>83200</v>
      </c>
      <c r="F21" s="4"/>
      <c r="G21" s="4"/>
      <c r="H21" s="4"/>
      <c r="I21" s="4"/>
      <c r="J21" s="4"/>
      <c r="K21" s="4"/>
      <c r="L21" s="4"/>
      <c r="M21" s="4"/>
      <c r="N21" s="4"/>
      <c r="O21" s="4"/>
      <c r="P21" s="4"/>
      <c r="Q21" s="4"/>
      <c r="R21" s="4"/>
      <c r="S21" s="4"/>
      <c r="T21" s="4"/>
      <c r="U21" s="4"/>
      <c r="V21" s="4"/>
      <c r="W21" s="4"/>
      <c r="X21" s="4"/>
      <c r="Y21" s="4"/>
    </row>
    <row r="22" spans="1:25" ht="12.75" customHeight="1">
      <c r="A22" s="340" t="s">
        <v>90</v>
      </c>
      <c r="B22" s="117"/>
      <c r="C22" s="119">
        <f>'Page 3-Assumptions'!$E$19</f>
        <v>23275.200000000001</v>
      </c>
      <c r="D22" s="119">
        <v>0</v>
      </c>
      <c r="E22" s="123">
        <f t="shared" si="0"/>
        <v>23275.200000000001</v>
      </c>
      <c r="F22" s="4"/>
      <c r="G22" s="4"/>
      <c r="H22" s="4"/>
      <c r="I22" s="4"/>
      <c r="J22" s="4"/>
      <c r="K22" s="4"/>
      <c r="L22" s="4"/>
      <c r="M22" s="4"/>
      <c r="N22" s="4"/>
      <c r="O22" s="4"/>
      <c r="P22" s="4"/>
      <c r="Q22" s="4"/>
      <c r="R22" s="4"/>
      <c r="S22" s="4"/>
      <c r="T22" s="4"/>
      <c r="U22" s="4"/>
      <c r="V22" s="4"/>
      <c r="W22" s="4"/>
      <c r="X22" s="4"/>
      <c r="Y22" s="4"/>
    </row>
    <row r="23" spans="1:25" ht="12.75" customHeight="1">
      <c r="A23" s="340" t="s">
        <v>169</v>
      </c>
      <c r="B23" s="117"/>
      <c r="C23" s="119">
        <f>'Page 3-Assumptions'!$E$20</f>
        <v>14400</v>
      </c>
      <c r="D23" s="119">
        <v>0</v>
      </c>
      <c r="E23" s="123">
        <f t="shared" si="0"/>
        <v>14400</v>
      </c>
      <c r="F23" s="4"/>
      <c r="G23" s="4"/>
      <c r="H23" s="4"/>
      <c r="I23" s="4"/>
      <c r="J23" s="4"/>
      <c r="K23" s="4"/>
      <c r="L23" s="4"/>
      <c r="M23" s="4"/>
      <c r="N23" s="4"/>
      <c r="O23" s="4"/>
      <c r="P23" s="4"/>
      <c r="Q23" s="4"/>
      <c r="R23" s="4"/>
      <c r="S23" s="4"/>
      <c r="T23" s="4"/>
      <c r="U23" s="4"/>
      <c r="V23" s="4"/>
      <c r="W23" s="4"/>
      <c r="X23" s="4"/>
      <c r="Y23" s="4"/>
    </row>
    <row r="24" spans="1:25" ht="12.75" customHeight="1">
      <c r="A24" s="340" t="s">
        <v>95</v>
      </c>
      <c r="B24" s="117"/>
      <c r="C24" s="119">
        <f>'Page 3-Assumptions'!$E$21</f>
        <v>569.08799999999997</v>
      </c>
      <c r="D24" s="119">
        <v>0</v>
      </c>
      <c r="E24" s="123">
        <f t="shared" si="0"/>
        <v>569.08799999999997</v>
      </c>
      <c r="F24" s="4"/>
      <c r="G24" s="4"/>
      <c r="H24" s="4"/>
      <c r="I24" s="4"/>
      <c r="J24" s="4"/>
      <c r="K24" s="4"/>
      <c r="L24" s="4"/>
      <c r="M24" s="4"/>
      <c r="N24" s="4"/>
      <c r="O24" s="4"/>
      <c r="P24" s="4"/>
      <c r="Q24" s="4"/>
      <c r="R24" s="4"/>
      <c r="S24" s="4"/>
      <c r="T24" s="4"/>
      <c r="U24" s="4"/>
      <c r="V24" s="4"/>
      <c r="W24" s="4"/>
      <c r="X24" s="4"/>
      <c r="Y24" s="4"/>
    </row>
    <row r="25" spans="1:25" ht="12.75" customHeight="1">
      <c r="A25" s="141" t="s">
        <v>170</v>
      </c>
      <c r="B25" s="117"/>
      <c r="C25" s="119">
        <f>'Page 3-Assumptions'!$E$22</f>
        <v>1500</v>
      </c>
      <c r="D25" s="119"/>
      <c r="E25" s="123">
        <f t="shared" si="0"/>
        <v>1500</v>
      </c>
      <c r="F25" s="4"/>
      <c r="G25" s="4"/>
      <c r="H25" s="4"/>
      <c r="I25" s="4"/>
      <c r="J25" s="4"/>
      <c r="K25" s="4"/>
      <c r="L25" s="4"/>
      <c r="M25" s="4"/>
      <c r="N25" s="4"/>
      <c r="O25" s="4"/>
      <c r="P25" s="4"/>
      <c r="Q25" s="4"/>
      <c r="R25" s="4"/>
      <c r="S25" s="4"/>
      <c r="T25" s="4"/>
      <c r="U25" s="4"/>
      <c r="V25" s="4"/>
      <c r="W25" s="4"/>
      <c r="X25" s="4"/>
      <c r="Y25" s="4"/>
    </row>
    <row r="26" spans="1:25" ht="12.75" customHeight="1">
      <c r="A26" s="340" t="s">
        <v>171</v>
      </c>
      <c r="B26" s="117">
        <f>((6.67*'Page 1-Enrollment Plan'!C23*160)*1.02^3)</f>
        <v>86071.609497599988</v>
      </c>
      <c r="C26" s="116"/>
      <c r="D26" s="116"/>
      <c r="E26" s="123">
        <f t="shared" si="0"/>
        <v>86071.609497599988</v>
      </c>
      <c r="F26" s="4"/>
      <c r="G26" s="4"/>
      <c r="H26" s="4"/>
      <c r="I26" s="4"/>
      <c r="J26" s="4"/>
      <c r="K26" s="4"/>
      <c r="L26" s="4"/>
      <c r="M26" s="4"/>
      <c r="N26" s="4"/>
      <c r="O26" s="4"/>
      <c r="P26" s="4"/>
      <c r="Q26" s="4"/>
      <c r="R26" s="4"/>
      <c r="S26" s="4"/>
      <c r="T26" s="4"/>
      <c r="U26" s="4"/>
      <c r="V26" s="4"/>
      <c r="W26" s="4"/>
      <c r="X26" s="4"/>
      <c r="Y26" s="4"/>
    </row>
    <row r="27" spans="1:25" ht="12.75" customHeight="1">
      <c r="A27" s="340" t="s">
        <v>172</v>
      </c>
      <c r="B27" s="117"/>
      <c r="C27" s="116"/>
      <c r="D27" s="116"/>
      <c r="E27" s="123">
        <f t="shared" si="0"/>
        <v>0</v>
      </c>
      <c r="F27" s="4"/>
      <c r="G27" s="4"/>
      <c r="H27" s="4"/>
      <c r="I27" s="4"/>
      <c r="J27" s="4"/>
      <c r="K27" s="4"/>
      <c r="L27" s="4"/>
      <c r="M27" s="4"/>
      <c r="N27" s="4"/>
      <c r="O27" s="4"/>
      <c r="P27" s="4"/>
      <c r="Q27" s="4"/>
      <c r="R27" s="4"/>
      <c r="S27" s="4"/>
      <c r="T27" s="4"/>
      <c r="U27" s="4"/>
      <c r="V27" s="4"/>
      <c r="W27" s="4"/>
      <c r="X27" s="4"/>
      <c r="Y27" s="4"/>
    </row>
    <row r="28" spans="1:25" ht="12.75" customHeight="1">
      <c r="A28" s="340" t="s">
        <v>57</v>
      </c>
      <c r="B28" s="119">
        <f>E6*'Page 3-Assumptions'!E5</f>
        <v>1012418.1309449996</v>
      </c>
      <c r="C28" s="119">
        <v>0</v>
      </c>
      <c r="D28" s="119">
        <v>0</v>
      </c>
      <c r="E28" s="123">
        <f t="shared" si="0"/>
        <v>1012418.1309449996</v>
      </c>
      <c r="F28" s="4"/>
      <c r="G28" s="4"/>
      <c r="H28" s="4"/>
      <c r="I28" s="4"/>
      <c r="J28" s="4"/>
      <c r="K28" s="4"/>
      <c r="L28" s="4"/>
      <c r="M28" s="4"/>
      <c r="N28" s="4"/>
      <c r="O28" s="4"/>
      <c r="P28" s="4"/>
      <c r="Q28" s="4"/>
      <c r="R28" s="4"/>
      <c r="S28" s="4"/>
      <c r="T28" s="4"/>
      <c r="U28" s="4"/>
      <c r="V28" s="4"/>
      <c r="W28" s="4"/>
      <c r="X28" s="4"/>
      <c r="Y28" s="4"/>
    </row>
    <row r="29" spans="1:25" ht="12.75" customHeight="1">
      <c r="A29" s="141" t="s">
        <v>232</v>
      </c>
      <c r="B29" s="121">
        <v>246856.82</v>
      </c>
      <c r="C29" s="121">
        <v>0</v>
      </c>
      <c r="D29" s="121">
        <v>0</v>
      </c>
      <c r="E29" s="123">
        <f t="shared" si="0"/>
        <v>246856.82</v>
      </c>
      <c r="F29" s="4"/>
      <c r="G29" s="4"/>
      <c r="H29" s="4"/>
      <c r="I29" s="4"/>
      <c r="J29" s="4"/>
      <c r="K29" s="4"/>
      <c r="L29" s="4"/>
      <c r="M29" s="4"/>
      <c r="N29" s="4"/>
      <c r="O29" s="4"/>
      <c r="P29" s="4"/>
      <c r="Q29" s="4"/>
      <c r="R29" s="4"/>
      <c r="S29" s="4"/>
      <c r="T29" s="4"/>
      <c r="U29" s="4"/>
      <c r="V29" s="4"/>
      <c r="W29" s="4"/>
      <c r="X29" s="4"/>
      <c r="Y29" s="4"/>
    </row>
    <row r="30" spans="1:25" ht="12.75" customHeight="1">
      <c r="A30" s="122" t="s">
        <v>174</v>
      </c>
      <c r="B30" s="123">
        <f t="shared" ref="B30:E30" si="1">SUM(B8:B29)</f>
        <v>1950496.7804425997</v>
      </c>
      <c r="C30" s="123">
        <f t="shared" si="1"/>
        <v>41342.112000000008</v>
      </c>
      <c r="D30" s="123">
        <f t="shared" si="1"/>
        <v>0</v>
      </c>
      <c r="E30" s="123">
        <f t="shared" si="1"/>
        <v>1991838.8924425996</v>
      </c>
      <c r="F30" s="4"/>
      <c r="G30" s="4"/>
      <c r="H30" s="4"/>
      <c r="I30" s="4"/>
      <c r="J30" s="4"/>
      <c r="K30" s="4"/>
      <c r="L30" s="4"/>
      <c r="M30" s="4"/>
      <c r="N30" s="4"/>
      <c r="O30" s="4"/>
      <c r="P30" s="4"/>
      <c r="Q30" s="4"/>
      <c r="R30" s="4"/>
      <c r="S30" s="4"/>
      <c r="T30" s="4"/>
      <c r="U30" s="4"/>
      <c r="V30" s="4"/>
      <c r="W30" s="4"/>
      <c r="X30" s="4"/>
      <c r="Y30" s="4"/>
    </row>
    <row r="31" spans="1:25" ht="12.75" customHeight="1">
      <c r="A31" s="328"/>
      <c r="B31" s="329"/>
      <c r="C31" s="329"/>
      <c r="D31" s="329"/>
      <c r="E31" s="351"/>
      <c r="F31" s="4"/>
      <c r="G31" s="4"/>
      <c r="H31" s="4"/>
      <c r="I31" s="4"/>
      <c r="J31" s="4"/>
      <c r="K31" s="4"/>
      <c r="L31" s="4"/>
      <c r="M31" s="4"/>
      <c r="N31" s="4"/>
      <c r="O31" s="4"/>
      <c r="P31" s="4"/>
      <c r="Q31" s="4"/>
      <c r="R31" s="4"/>
      <c r="S31" s="4"/>
      <c r="T31" s="4"/>
      <c r="U31" s="4"/>
      <c r="V31" s="4"/>
      <c r="W31" s="4"/>
      <c r="X31" s="4"/>
      <c r="Y31" s="4"/>
    </row>
    <row r="32" spans="1:25" ht="12.75" customHeight="1">
      <c r="A32" s="331" t="s">
        <v>106</v>
      </c>
      <c r="B32" s="329"/>
      <c r="C32" s="329"/>
      <c r="D32" s="329"/>
      <c r="E32" s="330"/>
      <c r="F32" s="4"/>
      <c r="G32" s="4"/>
      <c r="H32" s="4"/>
      <c r="I32" s="4"/>
      <c r="J32" s="4"/>
      <c r="K32" s="4"/>
      <c r="L32" s="4"/>
      <c r="M32" s="4"/>
      <c r="N32" s="4"/>
      <c r="O32" s="4"/>
      <c r="P32" s="4"/>
      <c r="Q32" s="4"/>
      <c r="R32" s="4"/>
      <c r="S32" s="4"/>
      <c r="T32" s="4"/>
      <c r="U32" s="4"/>
      <c r="V32" s="4"/>
      <c r="W32" s="4"/>
      <c r="X32" s="4"/>
      <c r="Y32" s="4"/>
    </row>
    <row r="33" spans="1:25" ht="12.75" customHeight="1">
      <c r="A33" s="141" t="s">
        <v>175</v>
      </c>
      <c r="B33" s="119">
        <f>'Page 2-Staffing Plan'!E32</f>
        <v>1002336</v>
      </c>
      <c r="C33" s="116"/>
      <c r="D33" s="116"/>
      <c r="E33" s="118">
        <f t="shared" ref="E33:E76" si="2">SUM(B33:D33)</f>
        <v>1002336</v>
      </c>
      <c r="F33" s="4"/>
      <c r="G33" s="4"/>
      <c r="H33" s="4"/>
      <c r="I33" s="4"/>
      <c r="J33" s="4"/>
      <c r="K33" s="4"/>
      <c r="L33" s="4"/>
      <c r="M33" s="4"/>
      <c r="N33" s="4"/>
      <c r="O33" s="4"/>
      <c r="P33" s="4"/>
      <c r="Q33" s="4"/>
      <c r="R33" s="4"/>
      <c r="S33" s="4"/>
      <c r="T33" s="4"/>
      <c r="U33" s="4"/>
      <c r="V33" s="4"/>
      <c r="W33" s="4"/>
      <c r="X33" s="4"/>
      <c r="Y33" s="4"/>
    </row>
    <row r="34" spans="1:25" ht="12.75" customHeight="1">
      <c r="A34" s="141" t="s">
        <v>176</v>
      </c>
      <c r="B34" s="119">
        <f>('Page 3-Assumptions'!B39*'Page 3-Assumptions'!B40)*('Page 2-Staffing Plan'!E15)</f>
        <v>10240</v>
      </c>
      <c r="C34" s="116"/>
      <c r="D34" s="116"/>
      <c r="E34" s="118">
        <f t="shared" si="2"/>
        <v>10240</v>
      </c>
      <c r="F34" s="4"/>
      <c r="G34" s="4"/>
      <c r="H34" s="4"/>
      <c r="I34" s="4"/>
      <c r="J34" s="4"/>
      <c r="K34" s="4"/>
      <c r="L34" s="4"/>
      <c r="M34" s="4"/>
      <c r="N34" s="4"/>
      <c r="O34" s="4"/>
      <c r="P34" s="4"/>
      <c r="Q34" s="4"/>
      <c r="R34" s="4"/>
      <c r="S34" s="4"/>
      <c r="T34" s="4"/>
      <c r="U34" s="4"/>
      <c r="V34" s="4"/>
      <c r="W34" s="4"/>
      <c r="X34" s="4"/>
      <c r="Y34" s="4"/>
    </row>
    <row r="35" spans="1:25" ht="12.75" customHeight="1">
      <c r="A35" s="141" t="s">
        <v>177</v>
      </c>
      <c r="B35" s="119">
        <f>(B33+B34)*1.45%</f>
        <v>14682.351999999999</v>
      </c>
      <c r="C35" s="116"/>
      <c r="D35" s="116"/>
      <c r="E35" s="118">
        <f t="shared" si="2"/>
        <v>14682.351999999999</v>
      </c>
      <c r="F35" s="4"/>
      <c r="G35" s="4"/>
      <c r="H35" s="4"/>
      <c r="I35" s="4"/>
      <c r="J35" s="4"/>
      <c r="K35" s="4"/>
      <c r="L35" s="4"/>
      <c r="M35" s="4"/>
      <c r="N35" s="4"/>
      <c r="O35" s="4"/>
      <c r="P35" s="4"/>
      <c r="Q35" s="4"/>
      <c r="R35" s="4"/>
      <c r="S35" s="4"/>
      <c r="T35" s="4"/>
      <c r="U35" s="4"/>
      <c r="V35" s="4"/>
      <c r="W35" s="4"/>
      <c r="X35" s="4"/>
      <c r="Y35" s="4"/>
    </row>
    <row r="36" spans="1:25" ht="12.75" customHeight="1">
      <c r="A36" s="141" t="s">
        <v>178</v>
      </c>
      <c r="B36" s="119">
        <f>'Page 6-Year 2'!B36</f>
        <v>0</v>
      </c>
      <c r="C36" s="116"/>
      <c r="D36" s="116"/>
      <c r="E36" s="118">
        <f t="shared" si="2"/>
        <v>0</v>
      </c>
      <c r="F36" s="4"/>
      <c r="G36" s="4"/>
      <c r="H36" s="4"/>
      <c r="I36" s="4"/>
      <c r="J36" s="4"/>
      <c r="K36" s="4"/>
      <c r="L36" s="4"/>
      <c r="M36" s="4"/>
      <c r="N36" s="4"/>
      <c r="O36" s="4"/>
      <c r="P36" s="4"/>
      <c r="Q36" s="4"/>
      <c r="R36" s="4"/>
      <c r="S36" s="4"/>
      <c r="T36" s="4"/>
      <c r="U36" s="4"/>
      <c r="V36" s="4"/>
      <c r="W36" s="4"/>
      <c r="X36" s="4"/>
      <c r="Y36" s="4"/>
    </row>
    <row r="37" spans="1:25" ht="12.75" customHeight="1">
      <c r="A37" s="141" t="s">
        <v>179</v>
      </c>
      <c r="B37" s="119">
        <f>((E33+E34)*'Page 3-Assumptions'!E31)-C37</f>
        <v>226817.024</v>
      </c>
      <c r="C37" s="146"/>
      <c r="D37" s="116"/>
      <c r="E37" s="118">
        <f t="shared" si="2"/>
        <v>226817.024</v>
      </c>
      <c r="F37" s="4"/>
      <c r="G37" s="4"/>
      <c r="H37" s="4"/>
      <c r="I37" s="4"/>
      <c r="J37" s="4"/>
      <c r="K37" s="4"/>
      <c r="L37" s="4"/>
      <c r="M37" s="4"/>
      <c r="N37" s="4"/>
      <c r="O37" s="4"/>
      <c r="P37" s="4"/>
      <c r="Q37" s="4"/>
      <c r="R37" s="4"/>
      <c r="S37" s="4"/>
      <c r="T37" s="4"/>
      <c r="U37" s="4"/>
      <c r="V37" s="4"/>
      <c r="W37" s="4"/>
      <c r="X37" s="4"/>
      <c r="Y37" s="4"/>
    </row>
    <row r="38" spans="1:25" ht="12.75" customHeight="1">
      <c r="A38" s="141" t="s">
        <v>180</v>
      </c>
      <c r="B38" s="119">
        <f>('Page 3-Assumptions'!B41*1.05^3)*17*0.8</f>
        <v>78718.500000000015</v>
      </c>
      <c r="C38" s="116"/>
      <c r="D38" s="116"/>
      <c r="E38" s="118">
        <f t="shared" si="2"/>
        <v>78718.500000000015</v>
      </c>
      <c r="F38" s="4"/>
      <c r="G38" s="4"/>
      <c r="H38" s="4"/>
      <c r="I38" s="4"/>
      <c r="J38" s="4"/>
      <c r="K38" s="4"/>
      <c r="L38" s="4"/>
      <c r="M38" s="4"/>
      <c r="N38" s="4"/>
      <c r="O38" s="4"/>
      <c r="P38" s="4"/>
      <c r="Q38" s="4"/>
      <c r="R38" s="4"/>
      <c r="S38" s="4"/>
      <c r="T38" s="4"/>
      <c r="U38" s="4"/>
      <c r="V38" s="4"/>
      <c r="W38" s="4"/>
      <c r="X38" s="4"/>
      <c r="Y38" s="4"/>
    </row>
    <row r="39" spans="1:25" ht="12.75" customHeight="1">
      <c r="A39" s="141" t="s">
        <v>181</v>
      </c>
      <c r="B39" s="119">
        <f>('Page 3-Assumptions'!B42*1.02^2)*17*0.8</f>
        <v>4669.3152</v>
      </c>
      <c r="C39" s="116"/>
      <c r="D39" s="116"/>
      <c r="E39" s="118">
        <f t="shared" si="2"/>
        <v>4669.3152</v>
      </c>
      <c r="F39" s="4"/>
      <c r="G39" s="4"/>
      <c r="H39" s="4"/>
      <c r="I39" s="4"/>
      <c r="J39" s="4"/>
      <c r="K39" s="4"/>
      <c r="L39" s="4"/>
      <c r="M39" s="4"/>
      <c r="N39" s="4"/>
      <c r="O39" s="4"/>
      <c r="P39" s="4"/>
      <c r="Q39" s="4"/>
      <c r="R39" s="4"/>
      <c r="S39" s="4"/>
      <c r="T39" s="4"/>
      <c r="U39" s="4"/>
      <c r="V39" s="4"/>
      <c r="W39" s="4"/>
      <c r="X39" s="4"/>
      <c r="Y39" s="4"/>
    </row>
    <row r="40" spans="1:25" ht="12.75" customHeight="1">
      <c r="A40" s="141" t="s">
        <v>182</v>
      </c>
      <c r="B40" s="119">
        <f>'Page 6-Year 2'!B40</f>
        <v>0</v>
      </c>
      <c r="C40" s="116"/>
      <c r="D40" s="116"/>
      <c r="E40" s="118">
        <f t="shared" si="2"/>
        <v>0</v>
      </c>
      <c r="F40" s="4"/>
      <c r="G40" s="4"/>
      <c r="H40" s="4"/>
      <c r="I40" s="4"/>
      <c r="J40" s="4"/>
      <c r="K40" s="4"/>
      <c r="L40" s="4"/>
      <c r="M40" s="4"/>
      <c r="N40" s="4"/>
      <c r="O40" s="4"/>
      <c r="P40" s="4"/>
      <c r="Q40" s="4"/>
      <c r="R40" s="4"/>
      <c r="S40" s="4"/>
      <c r="T40" s="4"/>
      <c r="U40" s="4"/>
      <c r="V40" s="4"/>
      <c r="W40" s="4"/>
      <c r="X40" s="4"/>
      <c r="Y40" s="4"/>
    </row>
    <row r="41" spans="1:25" ht="12.75" customHeight="1">
      <c r="A41" s="141" t="s">
        <v>183</v>
      </c>
      <c r="B41" s="125">
        <v>86072</v>
      </c>
      <c r="C41" s="117"/>
      <c r="D41" s="116"/>
      <c r="E41" s="118">
        <f t="shared" si="2"/>
        <v>86072</v>
      </c>
      <c r="F41" s="4"/>
      <c r="G41" s="4"/>
      <c r="H41" s="4"/>
      <c r="I41" s="4"/>
      <c r="J41" s="4"/>
      <c r="K41" s="4"/>
      <c r="L41" s="4"/>
      <c r="M41" s="4"/>
      <c r="N41" s="4"/>
      <c r="O41" s="4"/>
      <c r="P41" s="4"/>
      <c r="Q41" s="4"/>
      <c r="R41" s="4"/>
      <c r="S41" s="4"/>
      <c r="T41" s="4"/>
      <c r="U41" s="4"/>
      <c r="V41" s="4"/>
      <c r="W41" s="4"/>
      <c r="X41" s="4"/>
      <c r="Y41" s="4"/>
    </row>
    <row r="42" spans="1:25" ht="12.75" customHeight="1">
      <c r="A42" s="141" t="s">
        <v>184</v>
      </c>
      <c r="B42" s="119">
        <f>('Page 3-Assumptions'!$B$45*'Page 2-Staffing Plan'!E37)</f>
        <v>2319.6</v>
      </c>
      <c r="C42" s="116"/>
      <c r="D42" s="116"/>
      <c r="E42" s="118">
        <f t="shared" si="2"/>
        <v>2319.6</v>
      </c>
      <c r="F42" s="4"/>
      <c r="G42" s="4"/>
      <c r="H42" s="4"/>
      <c r="I42" s="4"/>
      <c r="J42" s="4"/>
      <c r="K42" s="4"/>
      <c r="L42" s="4"/>
      <c r="M42" s="4"/>
      <c r="N42" s="4"/>
      <c r="O42" s="4"/>
      <c r="P42" s="4"/>
      <c r="Q42" s="4"/>
      <c r="R42" s="4"/>
      <c r="S42" s="4"/>
      <c r="T42" s="4"/>
      <c r="U42" s="4"/>
      <c r="V42" s="4"/>
      <c r="W42" s="4"/>
      <c r="X42" s="4"/>
      <c r="Y42" s="4"/>
    </row>
    <row r="43" spans="1:25" ht="12.75" customHeight="1">
      <c r="A43" s="141" t="s">
        <v>185</v>
      </c>
      <c r="B43" s="119">
        <v>46500</v>
      </c>
      <c r="C43" s="333"/>
      <c r="D43" s="333"/>
      <c r="E43" s="118">
        <f t="shared" si="2"/>
        <v>46500</v>
      </c>
      <c r="F43" s="4"/>
      <c r="G43" s="4"/>
      <c r="H43" s="4"/>
      <c r="I43" s="4"/>
      <c r="J43" s="4"/>
      <c r="K43" s="4"/>
      <c r="L43" s="4"/>
      <c r="M43" s="4"/>
      <c r="N43" s="4"/>
      <c r="O43" s="4"/>
      <c r="P43" s="4"/>
      <c r="Q43" s="4"/>
      <c r="R43" s="4"/>
      <c r="S43" s="4"/>
      <c r="T43" s="4"/>
      <c r="U43" s="4"/>
      <c r="V43" s="4"/>
      <c r="W43" s="4"/>
      <c r="X43" s="4"/>
      <c r="Y43" s="4"/>
    </row>
    <row r="44" spans="1:25" ht="12.75" customHeight="1">
      <c r="A44" s="141" t="s">
        <v>186</v>
      </c>
      <c r="B44" s="119">
        <v>4566</v>
      </c>
      <c r="C44" s="116"/>
      <c r="D44" s="116"/>
      <c r="E44" s="118">
        <f t="shared" si="2"/>
        <v>4566</v>
      </c>
      <c r="F44" s="4"/>
      <c r="G44" s="4"/>
      <c r="H44" s="4"/>
      <c r="I44" s="4"/>
      <c r="J44" s="4"/>
      <c r="K44" s="4"/>
      <c r="L44" s="4"/>
      <c r="M44" s="4"/>
      <c r="N44" s="4"/>
      <c r="O44" s="4"/>
      <c r="P44" s="4"/>
      <c r="Q44" s="4"/>
      <c r="R44" s="4"/>
      <c r="S44" s="4"/>
      <c r="T44" s="4"/>
      <c r="U44" s="4"/>
      <c r="V44" s="4"/>
      <c r="W44" s="4"/>
      <c r="X44" s="4"/>
      <c r="Y44" s="4"/>
    </row>
    <row r="45" spans="1:25" ht="12.75" customHeight="1">
      <c r="A45" s="141" t="s">
        <v>187</v>
      </c>
      <c r="B45" s="116">
        <f>'Page 6-Year 2'!B45*1.02</f>
        <v>2040</v>
      </c>
      <c r="C45" s="116"/>
      <c r="D45" s="116"/>
      <c r="E45" s="118">
        <f t="shared" si="2"/>
        <v>2040</v>
      </c>
      <c r="F45" s="4"/>
      <c r="G45" s="4"/>
      <c r="H45" s="4"/>
      <c r="I45" s="4"/>
      <c r="J45" s="4"/>
      <c r="K45" s="4"/>
      <c r="L45" s="4"/>
      <c r="M45" s="4"/>
      <c r="N45" s="4"/>
      <c r="O45" s="4"/>
      <c r="P45" s="4"/>
      <c r="Q45" s="4"/>
      <c r="R45" s="4"/>
      <c r="S45" s="4"/>
      <c r="T45" s="4"/>
      <c r="U45" s="4"/>
      <c r="V45" s="4"/>
      <c r="W45" s="4"/>
      <c r="X45" s="4"/>
      <c r="Y45" s="4"/>
    </row>
    <row r="46" spans="1:25" ht="12.75" customHeight="1">
      <c r="A46" s="141" t="s">
        <v>188</v>
      </c>
      <c r="B46" s="116">
        <v>20200</v>
      </c>
      <c r="C46" s="116"/>
      <c r="D46" s="116"/>
      <c r="E46" s="118">
        <f t="shared" si="2"/>
        <v>20200</v>
      </c>
      <c r="F46" s="4"/>
      <c r="G46" s="4"/>
      <c r="H46" s="4"/>
      <c r="I46" s="4"/>
      <c r="J46" s="4"/>
      <c r="K46" s="4"/>
      <c r="L46" s="4"/>
      <c r="M46" s="4"/>
      <c r="N46" s="4"/>
      <c r="O46" s="4"/>
      <c r="P46" s="4"/>
      <c r="Q46" s="4"/>
      <c r="R46" s="4"/>
      <c r="S46" s="4"/>
      <c r="T46" s="4"/>
      <c r="U46" s="4"/>
      <c r="V46" s="4"/>
      <c r="W46" s="4"/>
      <c r="X46" s="4"/>
      <c r="Y46" s="4"/>
    </row>
    <row r="47" spans="1:25" ht="12.75" customHeight="1">
      <c r="A47" s="141" t="s">
        <v>189</v>
      </c>
      <c r="B47" s="116"/>
      <c r="C47" s="116">
        <f>SUM(C16:C24)</f>
        <v>39842.112000000008</v>
      </c>
      <c r="D47" s="116"/>
      <c r="E47" s="118">
        <f t="shared" si="2"/>
        <v>39842.112000000008</v>
      </c>
      <c r="F47" s="4"/>
      <c r="G47" s="4"/>
      <c r="H47" s="4"/>
      <c r="I47" s="4"/>
      <c r="J47" s="4"/>
      <c r="K47" s="4"/>
      <c r="L47" s="4"/>
      <c r="M47" s="4"/>
      <c r="N47" s="4"/>
      <c r="O47" s="4"/>
      <c r="P47" s="4"/>
      <c r="Q47" s="4"/>
      <c r="R47" s="4"/>
      <c r="S47" s="4"/>
      <c r="T47" s="4"/>
      <c r="U47" s="4"/>
      <c r="V47" s="4"/>
      <c r="W47" s="4"/>
      <c r="X47" s="4"/>
      <c r="Y47" s="4"/>
    </row>
    <row r="48" spans="1:25" ht="12.75" customHeight="1">
      <c r="A48" s="141" t="s">
        <v>190</v>
      </c>
      <c r="B48" s="116">
        <f>'Page 6-Year 2'!B48*1.02</f>
        <v>5100</v>
      </c>
      <c r="C48" s="116"/>
      <c r="D48" s="116"/>
      <c r="E48" s="118">
        <f t="shared" si="2"/>
        <v>5100</v>
      </c>
      <c r="F48" s="4"/>
      <c r="G48" s="4"/>
      <c r="H48" s="4"/>
      <c r="I48" s="4"/>
      <c r="J48" s="4"/>
      <c r="K48" s="4"/>
      <c r="L48" s="4"/>
      <c r="M48" s="4"/>
      <c r="N48" s="4"/>
      <c r="O48" s="4"/>
      <c r="P48" s="4"/>
      <c r="Q48" s="4"/>
      <c r="R48" s="4"/>
      <c r="S48" s="4"/>
      <c r="T48" s="4"/>
      <c r="U48" s="4"/>
      <c r="V48" s="4"/>
      <c r="W48" s="4"/>
      <c r="X48" s="4"/>
      <c r="Y48" s="4"/>
    </row>
    <row r="49" spans="1:25" ht="12.75" customHeight="1">
      <c r="A49" s="141" t="s">
        <v>191</v>
      </c>
      <c r="B49" s="116">
        <f>(330*12*2*1.02^3)+(330*2*2*1.02^3)</f>
        <v>9805.5619200000001</v>
      </c>
      <c r="C49" s="117"/>
      <c r="D49" s="116"/>
      <c r="E49" s="118">
        <f t="shared" si="2"/>
        <v>9805.5619200000001</v>
      </c>
      <c r="F49" s="4"/>
      <c r="G49" s="4"/>
      <c r="H49" s="4"/>
      <c r="I49" s="4"/>
      <c r="J49" s="4"/>
      <c r="K49" s="4"/>
      <c r="L49" s="4"/>
      <c r="M49" s="4"/>
      <c r="N49" s="4"/>
      <c r="O49" s="4"/>
      <c r="P49" s="4"/>
      <c r="Q49" s="4"/>
      <c r="R49" s="4"/>
      <c r="S49" s="4"/>
      <c r="T49" s="4"/>
      <c r="U49" s="4"/>
      <c r="V49" s="4"/>
      <c r="W49" s="4"/>
      <c r="X49" s="4"/>
      <c r="Y49" s="4"/>
    </row>
    <row r="50" spans="1:25" ht="12.75" customHeight="1">
      <c r="A50" s="141" t="s">
        <v>192</v>
      </c>
      <c r="B50" s="116">
        <f>'Page 6-Year 2'!B50*1.05</f>
        <v>0</v>
      </c>
      <c r="C50" s="116"/>
      <c r="D50" s="116"/>
      <c r="E50" s="118">
        <f t="shared" si="2"/>
        <v>0</v>
      </c>
      <c r="F50" s="4"/>
      <c r="G50" s="4"/>
      <c r="H50" s="4"/>
      <c r="I50" s="4"/>
      <c r="J50" s="4"/>
      <c r="K50" s="4"/>
      <c r="L50" s="4"/>
      <c r="M50" s="4"/>
      <c r="N50" s="4"/>
      <c r="O50" s="4"/>
      <c r="P50" s="4"/>
      <c r="Q50" s="4"/>
      <c r="R50" s="4"/>
      <c r="S50" s="4"/>
      <c r="T50" s="4"/>
      <c r="U50" s="4"/>
      <c r="V50" s="4"/>
      <c r="W50" s="4"/>
      <c r="X50" s="4"/>
      <c r="Y50" s="4"/>
    </row>
    <row r="51" spans="1:25" ht="12.75" customHeight="1">
      <c r="A51" s="141" t="s">
        <v>193</v>
      </c>
      <c r="B51" s="116">
        <f>0.05*B52</f>
        <v>4680</v>
      </c>
      <c r="C51" s="116"/>
      <c r="D51" s="116"/>
      <c r="E51" s="118">
        <f t="shared" si="2"/>
        <v>4680</v>
      </c>
      <c r="F51" s="4"/>
      <c r="G51" s="4"/>
      <c r="H51" s="4"/>
      <c r="I51" s="4"/>
      <c r="J51" s="4"/>
      <c r="K51" s="4"/>
      <c r="L51" s="4"/>
      <c r="M51" s="4"/>
      <c r="N51" s="4"/>
      <c r="O51" s="4"/>
      <c r="P51" s="4"/>
      <c r="Q51" s="4"/>
      <c r="R51" s="4"/>
      <c r="S51" s="4"/>
      <c r="T51" s="4"/>
      <c r="U51" s="4"/>
      <c r="V51" s="4"/>
      <c r="W51" s="4"/>
      <c r="X51" s="4"/>
      <c r="Y51" s="4"/>
    </row>
    <row r="52" spans="1:25" ht="12.75" customHeight="1">
      <c r="A52" s="141" t="s">
        <v>194</v>
      </c>
      <c r="B52" s="119">
        <v>93600</v>
      </c>
      <c r="C52" s="116"/>
      <c r="D52" s="116"/>
      <c r="E52" s="118">
        <f t="shared" si="2"/>
        <v>93600</v>
      </c>
      <c r="F52" s="4"/>
      <c r="G52" s="4"/>
      <c r="H52" s="4"/>
      <c r="I52" s="4"/>
      <c r="J52" s="4"/>
      <c r="K52" s="4"/>
      <c r="L52" s="4"/>
      <c r="M52" s="4"/>
      <c r="N52" s="4"/>
      <c r="O52" s="4"/>
      <c r="P52" s="4"/>
      <c r="Q52" s="4"/>
      <c r="R52" s="4"/>
      <c r="S52" s="4"/>
      <c r="T52" s="4"/>
      <c r="U52" s="4"/>
      <c r="V52" s="4"/>
      <c r="W52" s="4"/>
      <c r="X52" s="4"/>
      <c r="Y52" s="4"/>
    </row>
    <row r="53" spans="1:25" ht="12.75" customHeight="1">
      <c r="A53" s="141" t="s">
        <v>195</v>
      </c>
      <c r="B53" s="119">
        <v>2000</v>
      </c>
      <c r="C53" s="116"/>
      <c r="D53" s="116"/>
      <c r="E53" s="118">
        <f t="shared" si="2"/>
        <v>2000</v>
      </c>
      <c r="F53" s="4"/>
      <c r="G53" s="4"/>
      <c r="H53" s="4"/>
      <c r="I53" s="4"/>
      <c r="J53" s="4"/>
      <c r="K53" s="4"/>
      <c r="L53" s="4"/>
      <c r="M53" s="4"/>
      <c r="N53" s="4"/>
      <c r="O53" s="4"/>
      <c r="P53" s="4"/>
      <c r="Q53" s="4"/>
      <c r="R53" s="4"/>
      <c r="S53" s="4"/>
      <c r="T53" s="4"/>
      <c r="U53" s="4"/>
      <c r="V53" s="4"/>
      <c r="W53" s="4"/>
      <c r="X53" s="4"/>
      <c r="Y53" s="4"/>
    </row>
    <row r="54" spans="1:25" ht="12.75" customHeight="1">
      <c r="A54" s="141" t="s">
        <v>196</v>
      </c>
      <c r="B54" s="119">
        <f>'Page 3-Assumptions'!E35</f>
        <v>19560.185856</v>
      </c>
      <c r="C54" s="116"/>
      <c r="D54" s="116"/>
      <c r="E54" s="118">
        <f t="shared" si="2"/>
        <v>19560.185856</v>
      </c>
      <c r="F54" s="4"/>
      <c r="G54" s="4"/>
      <c r="H54" s="4"/>
      <c r="I54" s="4"/>
      <c r="J54" s="4"/>
      <c r="K54" s="4"/>
      <c r="L54" s="4"/>
      <c r="M54" s="4"/>
      <c r="N54" s="4"/>
      <c r="O54" s="4"/>
      <c r="P54" s="4"/>
      <c r="Q54" s="4"/>
      <c r="R54" s="4"/>
      <c r="S54" s="4"/>
      <c r="T54" s="4"/>
      <c r="U54" s="4"/>
      <c r="V54" s="4"/>
      <c r="W54" s="4"/>
      <c r="X54" s="4"/>
      <c r="Y54" s="4"/>
    </row>
    <row r="55" spans="1:25" ht="12.75" customHeight="1">
      <c r="A55" s="141" t="s">
        <v>197</v>
      </c>
      <c r="B55" s="119">
        <f>'Page 3-Assumptions'!$E$34*(E33+E34)</f>
        <v>3037.7280000000001</v>
      </c>
      <c r="C55" s="116"/>
      <c r="D55" s="116"/>
      <c r="E55" s="118">
        <f t="shared" si="2"/>
        <v>3037.7280000000001</v>
      </c>
      <c r="F55" s="4"/>
      <c r="G55" s="4"/>
      <c r="H55" s="4"/>
      <c r="I55" s="4"/>
      <c r="J55" s="4"/>
      <c r="K55" s="4"/>
      <c r="L55" s="4"/>
      <c r="M55" s="4"/>
      <c r="N55" s="4"/>
      <c r="O55" s="4"/>
      <c r="P55" s="4"/>
      <c r="Q55" s="4"/>
      <c r="R55" s="4"/>
      <c r="S55" s="4"/>
      <c r="T55" s="4"/>
      <c r="U55" s="4"/>
      <c r="V55" s="4"/>
      <c r="W55" s="4"/>
      <c r="X55" s="4"/>
      <c r="Y55" s="4"/>
    </row>
    <row r="56" spans="1:25" ht="12.75" customHeight="1">
      <c r="A56" s="141" t="s">
        <v>198</v>
      </c>
      <c r="B56" s="119">
        <f>((E33+E34)/100)*2</f>
        <v>20251.52</v>
      </c>
      <c r="C56" s="116"/>
      <c r="D56" s="116"/>
      <c r="E56" s="118">
        <f t="shared" si="2"/>
        <v>20251.52</v>
      </c>
      <c r="F56" s="4"/>
      <c r="G56" s="4"/>
      <c r="H56" s="4"/>
      <c r="I56" s="4"/>
      <c r="J56" s="4"/>
      <c r="K56" s="4"/>
      <c r="L56" s="4"/>
      <c r="M56" s="4"/>
      <c r="N56" s="4"/>
      <c r="O56" s="4"/>
      <c r="P56" s="4"/>
      <c r="Q56" s="4"/>
      <c r="R56" s="4"/>
      <c r="S56" s="4"/>
      <c r="T56" s="4"/>
      <c r="U56" s="4"/>
      <c r="V56" s="4"/>
      <c r="W56" s="4"/>
      <c r="X56" s="4"/>
      <c r="Y56" s="4"/>
    </row>
    <row r="57" spans="1:25" ht="12.75" customHeight="1">
      <c r="A57" s="141" t="s">
        <v>199</v>
      </c>
      <c r="B57" s="116">
        <f>'Page 6-Year 2'!B57*1.05</f>
        <v>0</v>
      </c>
      <c r="C57" s="116"/>
      <c r="D57" s="116"/>
      <c r="E57" s="118">
        <f t="shared" si="2"/>
        <v>0</v>
      </c>
      <c r="F57" s="4"/>
      <c r="G57" s="4"/>
      <c r="H57" s="4"/>
      <c r="I57" s="4"/>
      <c r="J57" s="4"/>
      <c r="K57" s="4"/>
      <c r="L57" s="4"/>
      <c r="M57" s="4"/>
      <c r="N57" s="4"/>
      <c r="O57" s="4"/>
      <c r="P57" s="4"/>
      <c r="Q57" s="4"/>
      <c r="R57" s="4"/>
      <c r="S57" s="4"/>
      <c r="T57" s="4"/>
      <c r="U57" s="4"/>
      <c r="V57" s="4"/>
      <c r="W57" s="4"/>
      <c r="X57" s="4"/>
      <c r="Y57" s="4"/>
    </row>
    <row r="58" spans="1:25" ht="12.75" customHeight="1">
      <c r="A58" s="141" t="s">
        <v>200</v>
      </c>
      <c r="B58" s="125">
        <v>40000</v>
      </c>
      <c r="C58" s="116"/>
      <c r="D58" s="116"/>
      <c r="E58" s="118">
        <f t="shared" si="2"/>
        <v>40000</v>
      </c>
      <c r="F58" s="4"/>
      <c r="G58" s="4"/>
      <c r="H58" s="4"/>
      <c r="I58" s="4"/>
      <c r="J58" s="4"/>
      <c r="K58" s="4"/>
      <c r="L58" s="4"/>
      <c r="M58" s="4"/>
      <c r="N58" s="4"/>
      <c r="O58" s="4"/>
      <c r="P58" s="4"/>
      <c r="Q58" s="4"/>
      <c r="R58" s="4"/>
      <c r="S58" s="4"/>
      <c r="T58" s="4"/>
      <c r="U58" s="4"/>
      <c r="V58" s="4"/>
      <c r="W58" s="4"/>
      <c r="X58" s="4"/>
      <c r="Y58" s="4"/>
    </row>
    <row r="59" spans="1:25" ht="12.75" customHeight="1">
      <c r="A59" s="141" t="s">
        <v>201</v>
      </c>
      <c r="B59" s="119">
        <v>5000</v>
      </c>
      <c r="C59" s="116"/>
      <c r="D59" s="116"/>
      <c r="E59" s="118">
        <f t="shared" si="2"/>
        <v>5000</v>
      </c>
      <c r="F59" s="4"/>
      <c r="G59" s="4"/>
      <c r="H59" s="4"/>
      <c r="I59" s="4"/>
      <c r="J59" s="4"/>
      <c r="K59" s="4"/>
      <c r="L59" s="4"/>
      <c r="M59" s="4"/>
      <c r="N59" s="4"/>
      <c r="O59" s="4"/>
      <c r="P59" s="4"/>
      <c r="Q59" s="4"/>
      <c r="R59" s="4"/>
      <c r="S59" s="4"/>
      <c r="T59" s="4"/>
      <c r="U59" s="4"/>
      <c r="V59" s="4"/>
      <c r="W59" s="4"/>
      <c r="X59" s="4"/>
      <c r="Y59" s="4"/>
    </row>
    <row r="60" spans="1:25" ht="12.75" customHeight="1">
      <c r="A60" s="141" t="s">
        <v>202</v>
      </c>
      <c r="B60" s="119">
        <v>0</v>
      </c>
      <c r="C60" s="116"/>
      <c r="D60" s="341"/>
      <c r="E60" s="118">
        <f t="shared" si="2"/>
        <v>0</v>
      </c>
      <c r="F60" s="4"/>
      <c r="G60" s="4"/>
      <c r="H60" s="4"/>
      <c r="I60" s="4"/>
      <c r="J60" s="4"/>
      <c r="K60" s="4"/>
      <c r="L60" s="4"/>
      <c r="M60" s="4"/>
      <c r="N60" s="4"/>
      <c r="O60" s="4"/>
      <c r="P60" s="4"/>
      <c r="Q60" s="4"/>
      <c r="R60" s="4"/>
      <c r="S60" s="4"/>
      <c r="T60" s="4"/>
      <c r="U60" s="4"/>
      <c r="V60" s="4"/>
      <c r="W60" s="4"/>
      <c r="X60" s="4"/>
      <c r="Y60" s="4"/>
    </row>
    <row r="61" spans="1:25" ht="12.75" customHeight="1">
      <c r="A61" s="327" t="s">
        <v>203</v>
      </c>
      <c r="B61" s="119">
        <f>B28*'Page 3-Assumptions'!E29</f>
        <v>30372.543928349987</v>
      </c>
      <c r="C61" s="116"/>
      <c r="D61" s="116"/>
      <c r="E61" s="118">
        <f t="shared" si="2"/>
        <v>30372.543928349987</v>
      </c>
      <c r="F61" s="4"/>
      <c r="G61" s="4"/>
      <c r="H61" s="4"/>
      <c r="I61" s="4"/>
      <c r="J61" s="4"/>
      <c r="K61" s="4"/>
      <c r="L61" s="4"/>
      <c r="M61" s="4"/>
      <c r="N61" s="4"/>
      <c r="O61" s="4"/>
      <c r="P61" s="4"/>
      <c r="Q61" s="4"/>
      <c r="R61" s="4"/>
      <c r="S61" s="4"/>
      <c r="T61" s="4"/>
      <c r="U61" s="4"/>
      <c r="V61" s="4"/>
      <c r="W61" s="4"/>
      <c r="X61" s="4"/>
      <c r="Y61" s="4"/>
    </row>
    <row r="62" spans="1:25" ht="12.75" customHeight="1">
      <c r="A62" s="141" t="s">
        <v>204</v>
      </c>
      <c r="B62" s="119">
        <f>B28*'Page 3-Assumptions'!E30</f>
        <v>10124.181309449996</v>
      </c>
      <c r="C62" s="116"/>
      <c r="D62" s="116"/>
      <c r="E62" s="118">
        <f t="shared" si="2"/>
        <v>10124.181309449996</v>
      </c>
      <c r="F62" s="4"/>
      <c r="G62" s="4"/>
      <c r="H62" s="4"/>
      <c r="I62" s="4"/>
      <c r="J62" s="4"/>
      <c r="K62" s="4"/>
      <c r="L62" s="4"/>
      <c r="M62" s="4"/>
      <c r="N62" s="4"/>
      <c r="O62" s="4"/>
      <c r="P62" s="4"/>
      <c r="Q62" s="4"/>
      <c r="R62" s="4"/>
      <c r="S62" s="4"/>
      <c r="T62" s="4"/>
      <c r="U62" s="4"/>
      <c r="V62" s="4"/>
      <c r="W62" s="4"/>
      <c r="X62" s="4"/>
      <c r="Y62" s="4"/>
    </row>
    <row r="63" spans="1:25" ht="12.75" customHeight="1">
      <c r="A63" s="141" t="s">
        <v>205</v>
      </c>
      <c r="B63" s="119">
        <v>28000</v>
      </c>
      <c r="C63" s="116"/>
      <c r="D63" s="116"/>
      <c r="E63" s="118">
        <f t="shared" si="2"/>
        <v>28000</v>
      </c>
      <c r="F63" s="4"/>
      <c r="G63" s="4"/>
      <c r="H63" s="4"/>
      <c r="I63" s="4"/>
      <c r="J63" s="4"/>
      <c r="K63" s="4"/>
      <c r="L63" s="4"/>
      <c r="M63" s="4"/>
      <c r="N63" s="4"/>
      <c r="O63" s="4"/>
      <c r="P63" s="4"/>
      <c r="Q63" s="4"/>
      <c r="R63" s="4"/>
      <c r="S63" s="4"/>
      <c r="T63" s="4"/>
      <c r="U63" s="4"/>
      <c r="V63" s="4"/>
      <c r="W63" s="4"/>
      <c r="X63" s="4"/>
      <c r="Y63" s="4"/>
    </row>
    <row r="64" spans="1:25" ht="12.75" customHeight="1">
      <c r="A64" s="141" t="s">
        <v>206</v>
      </c>
      <c r="B64" s="119">
        <f>E5*'Page 3-Assumptions'!$B$53</f>
        <v>0</v>
      </c>
      <c r="C64" s="116"/>
      <c r="D64" s="116"/>
      <c r="E64" s="118">
        <f t="shared" si="2"/>
        <v>0</v>
      </c>
      <c r="F64" s="4"/>
      <c r="G64" s="4"/>
      <c r="H64" s="4"/>
      <c r="I64" s="4"/>
      <c r="J64" s="4"/>
      <c r="K64" s="4"/>
      <c r="L64" s="4"/>
      <c r="M64" s="4"/>
      <c r="N64" s="4"/>
      <c r="O64" s="4"/>
      <c r="P64" s="4"/>
      <c r="Q64" s="4"/>
      <c r="R64" s="4"/>
      <c r="S64" s="4"/>
      <c r="T64" s="4"/>
      <c r="U64" s="4"/>
      <c r="V64" s="4"/>
      <c r="W64" s="4"/>
      <c r="X64" s="4"/>
      <c r="Y64" s="4"/>
    </row>
    <row r="65" spans="1:25" ht="12.75" customHeight="1">
      <c r="A65" s="141" t="s">
        <v>207</v>
      </c>
      <c r="B65" s="119">
        <f>2000*1.02^3</f>
        <v>2122.4159999999997</v>
      </c>
      <c r="C65" s="116"/>
      <c r="D65" s="116"/>
      <c r="E65" s="118">
        <f t="shared" si="2"/>
        <v>2122.4159999999997</v>
      </c>
      <c r="F65" s="4"/>
      <c r="G65" s="4"/>
      <c r="H65" s="4"/>
      <c r="I65" s="4"/>
      <c r="J65" s="4"/>
      <c r="K65" s="4"/>
      <c r="L65" s="4"/>
      <c r="M65" s="4"/>
      <c r="N65" s="4"/>
      <c r="O65" s="4"/>
      <c r="P65" s="4"/>
      <c r="Q65" s="4"/>
      <c r="R65" s="4"/>
      <c r="S65" s="4"/>
      <c r="T65" s="4"/>
      <c r="U65" s="4"/>
      <c r="V65" s="4"/>
      <c r="W65" s="4"/>
      <c r="X65" s="4"/>
      <c r="Y65" s="4"/>
    </row>
    <row r="66" spans="1:25" ht="12.75" customHeight="1">
      <c r="A66" s="141" t="s">
        <v>208</v>
      </c>
      <c r="B66" s="117"/>
      <c r="C66" s="116"/>
      <c r="D66" s="341"/>
      <c r="E66" s="118">
        <f t="shared" si="2"/>
        <v>0</v>
      </c>
      <c r="F66" s="4"/>
      <c r="G66" s="4"/>
      <c r="H66" s="4"/>
      <c r="I66" s="4"/>
      <c r="J66" s="4"/>
      <c r="K66" s="4"/>
      <c r="L66" s="4"/>
      <c r="M66" s="4"/>
      <c r="N66" s="4"/>
      <c r="O66" s="4"/>
      <c r="P66" s="4"/>
      <c r="Q66" s="4"/>
      <c r="R66" s="4"/>
      <c r="S66" s="4"/>
      <c r="T66" s="4"/>
      <c r="U66" s="4"/>
      <c r="V66" s="4"/>
      <c r="W66" s="4"/>
      <c r="X66" s="4"/>
      <c r="Y66" s="4"/>
    </row>
    <row r="67" spans="1:25" ht="12.75" customHeight="1">
      <c r="A67" s="141" t="s">
        <v>209</v>
      </c>
      <c r="B67" s="117">
        <f>'Page 6-Year 2'!B67*1.05</f>
        <v>0</v>
      </c>
      <c r="C67" s="116"/>
      <c r="D67" s="116"/>
      <c r="E67" s="118">
        <f t="shared" si="2"/>
        <v>0</v>
      </c>
      <c r="F67" s="4"/>
      <c r="G67" s="4"/>
      <c r="H67" s="4"/>
      <c r="I67" s="4"/>
      <c r="J67" s="4"/>
      <c r="K67" s="4"/>
      <c r="L67" s="4"/>
      <c r="M67" s="4"/>
      <c r="N67" s="4"/>
      <c r="O67" s="4"/>
      <c r="P67" s="4"/>
      <c r="Q67" s="4"/>
      <c r="R67" s="4"/>
      <c r="S67" s="4"/>
      <c r="T67" s="4"/>
      <c r="U67" s="4"/>
      <c r="V67" s="4"/>
      <c r="W67" s="4"/>
      <c r="X67" s="4"/>
      <c r="Y67" s="4"/>
    </row>
    <row r="68" spans="1:25" ht="12.75" customHeight="1">
      <c r="A68" s="141" t="s">
        <v>210</v>
      </c>
      <c r="B68" s="117"/>
      <c r="C68" s="116"/>
      <c r="D68" s="116"/>
      <c r="E68" s="118">
        <f t="shared" si="2"/>
        <v>0</v>
      </c>
      <c r="F68" s="4"/>
      <c r="G68" s="4"/>
      <c r="H68" s="4"/>
      <c r="I68" s="4"/>
      <c r="J68" s="4"/>
      <c r="K68" s="4"/>
      <c r="L68" s="4"/>
      <c r="M68" s="4"/>
      <c r="N68" s="4"/>
      <c r="O68" s="4"/>
      <c r="P68" s="4"/>
      <c r="Q68" s="4"/>
      <c r="R68" s="4"/>
      <c r="S68" s="4"/>
      <c r="T68" s="4"/>
      <c r="U68" s="4"/>
      <c r="V68" s="4"/>
      <c r="W68" s="4"/>
      <c r="X68" s="4"/>
      <c r="Y68" s="4"/>
    </row>
    <row r="69" spans="1:25" ht="12.75" customHeight="1">
      <c r="A69" s="141" t="s">
        <v>211</v>
      </c>
      <c r="B69" s="117">
        <v>12000</v>
      </c>
      <c r="C69" s="116"/>
      <c r="D69" s="116"/>
      <c r="E69" s="118">
        <f t="shared" si="2"/>
        <v>12000</v>
      </c>
      <c r="F69" s="4"/>
      <c r="G69" s="4"/>
      <c r="H69" s="4"/>
      <c r="I69" s="4"/>
      <c r="J69" s="4"/>
      <c r="K69" s="4"/>
      <c r="L69" s="4"/>
      <c r="M69" s="4"/>
      <c r="N69" s="4"/>
      <c r="O69" s="4"/>
      <c r="P69" s="4"/>
      <c r="Q69" s="4"/>
      <c r="R69" s="4"/>
      <c r="S69" s="4"/>
      <c r="T69" s="4"/>
      <c r="U69" s="4"/>
      <c r="V69" s="4"/>
      <c r="W69" s="4"/>
      <c r="X69" s="4"/>
      <c r="Y69" s="4"/>
    </row>
    <row r="70" spans="1:25" ht="12.75" customHeight="1">
      <c r="A70" s="141" t="s">
        <v>212</v>
      </c>
      <c r="B70" s="117">
        <v>0</v>
      </c>
      <c r="C70" s="116"/>
      <c r="D70" s="341"/>
      <c r="E70" s="118">
        <f t="shared" si="2"/>
        <v>0</v>
      </c>
      <c r="F70" s="4"/>
      <c r="G70" s="4"/>
      <c r="H70" s="4"/>
      <c r="I70" s="4"/>
      <c r="J70" s="4"/>
      <c r="K70" s="4"/>
      <c r="L70" s="4"/>
      <c r="M70" s="4"/>
      <c r="N70" s="4"/>
      <c r="O70" s="4"/>
      <c r="P70" s="4"/>
      <c r="Q70" s="4"/>
      <c r="R70" s="4"/>
      <c r="S70" s="4"/>
      <c r="T70" s="4"/>
      <c r="U70" s="4"/>
      <c r="V70" s="4"/>
      <c r="W70" s="4"/>
      <c r="X70" s="4"/>
      <c r="Y70" s="4"/>
    </row>
    <row r="71" spans="1:25" ht="12.75" customHeight="1">
      <c r="A71" s="141" t="s">
        <v>213</v>
      </c>
      <c r="B71" s="119">
        <v>2200</v>
      </c>
      <c r="C71" s="116"/>
      <c r="D71" s="116"/>
      <c r="E71" s="118">
        <f t="shared" si="2"/>
        <v>2200</v>
      </c>
      <c r="F71" s="4"/>
      <c r="G71" s="4"/>
      <c r="H71" s="4"/>
      <c r="I71" s="4"/>
      <c r="J71" s="4"/>
      <c r="K71" s="4"/>
      <c r="L71" s="4"/>
      <c r="M71" s="4"/>
      <c r="N71" s="4"/>
      <c r="O71" s="4"/>
      <c r="P71" s="4"/>
      <c r="Q71" s="4"/>
      <c r="R71" s="4"/>
      <c r="S71" s="4"/>
      <c r="T71" s="4"/>
      <c r="U71" s="4"/>
      <c r="V71" s="4"/>
      <c r="W71" s="4"/>
      <c r="X71" s="4"/>
      <c r="Y71" s="4"/>
    </row>
    <row r="72" spans="1:25" ht="12.75" customHeight="1">
      <c r="A72" s="141" t="s">
        <v>214</v>
      </c>
      <c r="B72" s="116">
        <v>10000</v>
      </c>
      <c r="C72" s="116"/>
      <c r="D72" s="116"/>
      <c r="E72" s="118">
        <f t="shared" si="2"/>
        <v>10000</v>
      </c>
      <c r="F72" s="4"/>
      <c r="G72" s="4"/>
      <c r="H72" s="4"/>
      <c r="I72" s="4"/>
      <c r="J72" s="4"/>
      <c r="K72" s="4"/>
      <c r="L72" s="4"/>
      <c r="M72" s="4"/>
      <c r="N72" s="4"/>
      <c r="O72" s="4"/>
      <c r="P72" s="4"/>
      <c r="Q72" s="4"/>
      <c r="R72" s="4"/>
      <c r="S72" s="4"/>
      <c r="T72" s="4"/>
      <c r="U72" s="4"/>
      <c r="V72" s="4"/>
      <c r="W72" s="4"/>
      <c r="X72" s="4"/>
      <c r="Y72" s="4"/>
    </row>
    <row r="73" spans="1:25" ht="12.75" customHeight="1">
      <c r="A73" s="141" t="s">
        <v>215</v>
      </c>
      <c r="B73" s="119">
        <f>('Page 3-Assumptions'!$B$56*'Page 1-Enrollment Plan'!D21)</f>
        <v>0</v>
      </c>
      <c r="C73" s="116"/>
      <c r="D73" s="116"/>
      <c r="E73" s="118">
        <f t="shared" si="2"/>
        <v>0</v>
      </c>
      <c r="F73" s="4"/>
      <c r="G73" s="4"/>
      <c r="H73" s="4"/>
      <c r="I73" s="4"/>
      <c r="J73" s="4"/>
      <c r="K73" s="4"/>
      <c r="L73" s="4"/>
      <c r="M73" s="4"/>
      <c r="N73" s="4"/>
      <c r="O73" s="4"/>
      <c r="P73" s="4"/>
      <c r="Q73" s="4"/>
      <c r="R73" s="4"/>
      <c r="S73" s="4"/>
      <c r="T73" s="4"/>
      <c r="U73" s="4"/>
      <c r="V73" s="4"/>
      <c r="W73" s="4"/>
      <c r="X73" s="4"/>
      <c r="Y73" s="4"/>
    </row>
    <row r="74" spans="1:25" ht="12.75" customHeight="1">
      <c r="A74" s="141" t="s">
        <v>234</v>
      </c>
      <c r="B74" s="119">
        <f>0.03*B30</f>
        <v>58514.903413277985</v>
      </c>
      <c r="C74" s="116"/>
      <c r="D74" s="116"/>
      <c r="E74" s="118">
        <f t="shared" si="2"/>
        <v>58514.903413277985</v>
      </c>
      <c r="F74" s="4"/>
      <c r="G74" s="4"/>
      <c r="H74" s="4"/>
      <c r="I74" s="4"/>
      <c r="J74" s="4"/>
      <c r="K74" s="4"/>
      <c r="L74" s="4"/>
      <c r="M74" s="4"/>
      <c r="N74" s="4"/>
      <c r="O74" s="4"/>
      <c r="P74" s="4"/>
      <c r="Q74" s="4"/>
      <c r="R74" s="4"/>
      <c r="S74" s="4"/>
      <c r="T74" s="4"/>
      <c r="U74" s="4"/>
      <c r="V74" s="4"/>
      <c r="W74" s="4"/>
      <c r="X74" s="4"/>
      <c r="Y74" s="4"/>
    </row>
    <row r="75" spans="1:25" ht="12.75" customHeight="1">
      <c r="A75" s="141" t="s">
        <v>235</v>
      </c>
      <c r="B75" s="119">
        <v>9900</v>
      </c>
      <c r="C75" s="116"/>
      <c r="D75" s="116"/>
      <c r="E75" s="118">
        <f t="shared" si="2"/>
        <v>9900</v>
      </c>
      <c r="F75" s="4"/>
      <c r="G75" s="4"/>
      <c r="H75" s="4"/>
      <c r="I75" s="4"/>
      <c r="J75" s="4"/>
      <c r="K75" s="4"/>
      <c r="L75" s="4"/>
      <c r="M75" s="4"/>
      <c r="N75" s="4"/>
      <c r="O75" s="4"/>
      <c r="P75" s="4"/>
      <c r="Q75" s="4"/>
      <c r="R75" s="4"/>
      <c r="S75" s="4"/>
      <c r="T75" s="4"/>
      <c r="U75" s="4"/>
      <c r="V75" s="4"/>
      <c r="W75" s="4"/>
      <c r="X75" s="4"/>
      <c r="Y75" s="4"/>
    </row>
    <row r="76" spans="1:25" ht="12.75" customHeight="1">
      <c r="A76" s="141" t="s">
        <v>236</v>
      </c>
      <c r="B76" s="119">
        <v>33000</v>
      </c>
      <c r="C76" s="116"/>
      <c r="D76" s="116"/>
      <c r="E76" s="118">
        <f t="shared" si="2"/>
        <v>33000</v>
      </c>
      <c r="F76" s="4"/>
      <c r="G76" s="4"/>
      <c r="H76" s="4"/>
      <c r="I76" s="4"/>
      <c r="J76" s="4"/>
      <c r="K76" s="4"/>
      <c r="L76" s="4"/>
      <c r="M76" s="4"/>
      <c r="N76" s="4"/>
      <c r="O76" s="4"/>
      <c r="P76" s="4"/>
      <c r="Q76" s="4"/>
      <c r="R76" s="4"/>
      <c r="S76" s="4"/>
      <c r="T76" s="4"/>
      <c r="U76" s="4"/>
      <c r="V76" s="4"/>
      <c r="W76" s="4"/>
      <c r="X76" s="4"/>
      <c r="Y76" s="4"/>
    </row>
    <row r="77" spans="1:25" ht="12.75" customHeight="1">
      <c r="A77" s="122" t="s">
        <v>217</v>
      </c>
      <c r="B77" s="123">
        <f>SUM(B33:B76)</f>
        <v>1898429.8316270781</v>
      </c>
      <c r="C77" s="123">
        <f t="shared" ref="C77:D77" si="3">SUM(C33:C74)</f>
        <v>39842.112000000008</v>
      </c>
      <c r="D77" s="123">
        <f t="shared" si="3"/>
        <v>0</v>
      </c>
      <c r="E77" s="123">
        <f>SUM(E33:E76)</f>
        <v>1938271.9436270781</v>
      </c>
      <c r="F77" s="4"/>
      <c r="G77" s="4"/>
      <c r="H77" s="4"/>
      <c r="I77" s="4"/>
      <c r="J77" s="4"/>
      <c r="K77" s="4"/>
      <c r="L77" s="4"/>
      <c r="M77" s="4"/>
      <c r="N77" s="4"/>
      <c r="O77" s="4"/>
      <c r="P77" s="4"/>
      <c r="Q77" s="4"/>
      <c r="R77" s="4"/>
      <c r="S77" s="4"/>
      <c r="T77" s="4"/>
      <c r="U77" s="4"/>
      <c r="V77" s="4"/>
      <c r="W77" s="4"/>
      <c r="X77" s="4"/>
      <c r="Y77" s="4"/>
    </row>
    <row r="78" spans="1:25" ht="12.75" customHeight="1">
      <c r="A78" s="336"/>
      <c r="B78" s="329"/>
      <c r="C78" s="329"/>
      <c r="D78" s="329"/>
      <c r="E78" s="330"/>
      <c r="F78" s="4"/>
      <c r="G78" s="4"/>
      <c r="H78" s="4"/>
      <c r="I78" s="4"/>
      <c r="J78" s="4"/>
      <c r="K78" s="4"/>
      <c r="L78" s="4"/>
      <c r="M78" s="4"/>
      <c r="N78" s="4"/>
      <c r="O78" s="4"/>
      <c r="P78" s="4"/>
      <c r="Q78" s="4"/>
      <c r="R78" s="4"/>
      <c r="S78" s="4"/>
      <c r="T78" s="4"/>
      <c r="U78" s="4"/>
      <c r="V78" s="4"/>
      <c r="W78" s="4"/>
      <c r="X78" s="4"/>
      <c r="Y78" s="4"/>
    </row>
    <row r="79" spans="1:25" ht="12.75" customHeight="1">
      <c r="A79" s="130" t="s">
        <v>218</v>
      </c>
      <c r="B79" s="123">
        <f t="shared" ref="B79:E79" si="4">B30-B77</f>
        <v>52066.948815521551</v>
      </c>
      <c r="C79" s="123">
        <f t="shared" si="4"/>
        <v>1500</v>
      </c>
      <c r="D79" s="123">
        <f t="shared" si="4"/>
        <v>0</v>
      </c>
      <c r="E79" s="123">
        <f t="shared" si="4"/>
        <v>53566.948815521551</v>
      </c>
      <c r="F79" s="4"/>
      <c r="G79" s="4"/>
      <c r="H79" s="4"/>
      <c r="I79" s="4"/>
      <c r="J79" s="4"/>
      <c r="K79" s="4"/>
      <c r="L79" s="4"/>
      <c r="M79" s="4"/>
      <c r="N79" s="4"/>
      <c r="O79" s="4"/>
      <c r="P79" s="4"/>
      <c r="Q79" s="4"/>
      <c r="R79" s="4"/>
      <c r="S79" s="4"/>
      <c r="T79" s="4"/>
      <c r="U79" s="4"/>
      <c r="V79" s="4"/>
      <c r="W79" s="4"/>
      <c r="X79" s="4"/>
      <c r="Y79" s="4"/>
    </row>
    <row r="80" spans="1:25" ht="12.75" customHeight="1">
      <c r="A80" s="335"/>
      <c r="B80" s="329"/>
      <c r="C80" s="329"/>
      <c r="D80" s="329"/>
      <c r="E80" s="330"/>
      <c r="F80" s="4"/>
      <c r="G80" s="4"/>
      <c r="H80" s="4"/>
      <c r="I80" s="4"/>
      <c r="J80" s="4"/>
      <c r="K80" s="4"/>
      <c r="L80" s="4"/>
      <c r="M80" s="4"/>
      <c r="N80" s="4"/>
      <c r="O80" s="4"/>
      <c r="P80" s="4"/>
      <c r="Q80" s="4"/>
      <c r="R80" s="4"/>
      <c r="S80" s="4"/>
      <c r="T80" s="4"/>
      <c r="U80" s="4"/>
      <c r="V80" s="4"/>
      <c r="W80" s="4"/>
      <c r="X80" s="4"/>
      <c r="Y80" s="4"/>
    </row>
    <row r="81" spans="1:25" ht="12.75" customHeight="1">
      <c r="A81" s="336" t="s">
        <v>219</v>
      </c>
      <c r="B81" s="329"/>
      <c r="C81" s="329"/>
      <c r="D81" s="133"/>
      <c r="E81" s="118">
        <f>SUM(B81:D81)</f>
        <v>0</v>
      </c>
      <c r="F81" s="4"/>
      <c r="G81" s="4"/>
      <c r="H81" s="4"/>
      <c r="I81" s="4"/>
      <c r="J81" s="4"/>
      <c r="K81" s="4"/>
      <c r="L81" s="4"/>
      <c r="M81" s="4"/>
      <c r="N81" s="4"/>
      <c r="O81" s="4"/>
      <c r="P81" s="4"/>
      <c r="Q81" s="4"/>
      <c r="R81" s="4"/>
      <c r="S81" s="4"/>
      <c r="T81" s="4"/>
      <c r="U81" s="4"/>
      <c r="V81" s="4"/>
      <c r="W81" s="4"/>
      <c r="X81" s="4"/>
      <c r="Y81" s="4"/>
    </row>
    <row r="82" spans="1:25" ht="12.75" hidden="1" customHeight="1">
      <c r="A82" s="327"/>
      <c r="B82" s="329"/>
      <c r="C82" s="329"/>
      <c r="D82" s="133"/>
      <c r="E82" s="330"/>
      <c r="F82" s="4"/>
      <c r="G82" s="4"/>
      <c r="H82" s="4"/>
      <c r="I82" s="4"/>
      <c r="J82" s="4"/>
      <c r="K82" s="4"/>
      <c r="L82" s="4"/>
      <c r="M82" s="4"/>
      <c r="N82" s="4"/>
      <c r="O82" s="4"/>
      <c r="P82" s="4"/>
      <c r="Q82" s="4"/>
      <c r="R82" s="4"/>
      <c r="S82" s="4"/>
      <c r="T82" s="4"/>
      <c r="U82" s="4"/>
      <c r="V82" s="4"/>
      <c r="W82" s="4"/>
      <c r="X82" s="4"/>
      <c r="Y82" s="4"/>
    </row>
    <row r="83" spans="1:25" ht="12.75" customHeight="1">
      <c r="A83" s="338"/>
      <c r="B83" s="348"/>
      <c r="C83" s="329"/>
      <c r="D83" s="329"/>
      <c r="E83" s="330"/>
      <c r="F83" s="4"/>
      <c r="G83" s="4"/>
      <c r="H83" s="4"/>
      <c r="I83" s="4"/>
      <c r="J83" s="4"/>
      <c r="K83" s="4"/>
      <c r="L83" s="4"/>
      <c r="M83" s="4"/>
      <c r="N83" s="4"/>
      <c r="O83" s="4"/>
      <c r="P83" s="4"/>
      <c r="Q83" s="4"/>
      <c r="R83" s="4"/>
      <c r="S83" s="4"/>
      <c r="T83" s="4"/>
      <c r="U83" s="4"/>
      <c r="V83" s="4"/>
      <c r="W83" s="4"/>
      <c r="X83" s="4"/>
      <c r="Y83" s="4"/>
    </row>
    <row r="84" spans="1:25" ht="12.75" customHeight="1">
      <c r="A84" s="155" t="s">
        <v>220</v>
      </c>
      <c r="B84" s="152">
        <f t="shared" ref="B84:E84" si="5">SUM(B79:B83)</f>
        <v>52066.948815521551</v>
      </c>
      <c r="C84" s="152">
        <f t="shared" si="5"/>
        <v>1500</v>
      </c>
      <c r="D84" s="152">
        <f t="shared" si="5"/>
        <v>0</v>
      </c>
      <c r="E84" s="152">
        <f t="shared" si="5"/>
        <v>53566.948815521551</v>
      </c>
      <c r="F84" s="4"/>
      <c r="G84" s="4"/>
      <c r="H84" s="4"/>
      <c r="I84" s="4"/>
      <c r="J84" s="4"/>
      <c r="K84" s="4"/>
      <c r="L84" s="4"/>
      <c r="M84" s="4"/>
      <c r="N84" s="4"/>
      <c r="O84" s="4"/>
      <c r="P84" s="4"/>
      <c r="Q84" s="4"/>
      <c r="R84" s="4"/>
      <c r="S84" s="4"/>
      <c r="T84" s="4"/>
      <c r="U84" s="4"/>
      <c r="V84" s="4"/>
      <c r="W84" s="4"/>
      <c r="X84" s="4"/>
      <c r="Y84" s="4"/>
    </row>
    <row r="85" spans="1:25" ht="12.75" customHeight="1">
      <c r="A85" s="343"/>
      <c r="B85" s="344"/>
      <c r="C85" s="344"/>
      <c r="D85" s="344"/>
      <c r="E85" s="153"/>
      <c r="F85" s="4"/>
      <c r="G85" s="4"/>
      <c r="H85" s="4"/>
      <c r="I85" s="4"/>
      <c r="J85" s="4"/>
      <c r="K85" s="4"/>
      <c r="L85" s="4"/>
      <c r="M85" s="4"/>
      <c r="N85" s="4"/>
      <c r="O85" s="4"/>
      <c r="P85" s="4"/>
      <c r="Q85" s="4"/>
      <c r="R85" s="4"/>
      <c r="S85" s="4"/>
      <c r="T85" s="4"/>
      <c r="U85" s="4"/>
      <c r="V85" s="4"/>
      <c r="W85" s="4"/>
      <c r="X85" s="4"/>
      <c r="Y85" s="4"/>
    </row>
    <row r="86" spans="1:25" ht="12.75" customHeight="1">
      <c r="A86" s="264" t="s">
        <v>221</v>
      </c>
      <c r="B86" s="258"/>
      <c r="C86" s="258"/>
      <c r="D86" s="258"/>
      <c r="E86" s="132">
        <f>'Page 6-Year 2'!E87</f>
        <v>122946.20692039991</v>
      </c>
      <c r="F86" s="4"/>
      <c r="G86" s="4"/>
      <c r="H86" s="4"/>
      <c r="I86" s="4"/>
      <c r="J86" s="4"/>
      <c r="K86" s="4"/>
      <c r="L86" s="4"/>
      <c r="M86" s="4"/>
      <c r="N86" s="4"/>
      <c r="O86" s="4"/>
      <c r="P86" s="4"/>
      <c r="Q86" s="4"/>
      <c r="R86" s="4"/>
      <c r="S86" s="4"/>
      <c r="T86" s="4"/>
      <c r="U86" s="4"/>
      <c r="V86" s="4"/>
      <c r="W86" s="4"/>
      <c r="X86" s="4"/>
      <c r="Y86" s="4"/>
    </row>
    <row r="87" spans="1:25" ht="12.75" customHeight="1">
      <c r="A87" s="264" t="s">
        <v>222</v>
      </c>
      <c r="B87" s="258"/>
      <c r="C87" s="258"/>
      <c r="D87" s="258"/>
      <c r="E87" s="132">
        <f>E86+E84</f>
        <v>176513.15573592146</v>
      </c>
      <c r="F87" s="4"/>
      <c r="G87" s="4"/>
      <c r="H87" s="4"/>
      <c r="I87" s="4"/>
      <c r="J87" s="4"/>
      <c r="K87" s="4"/>
      <c r="L87" s="4"/>
      <c r="M87" s="4"/>
      <c r="N87" s="4"/>
      <c r="O87" s="4"/>
      <c r="P87" s="4"/>
      <c r="Q87" s="4"/>
      <c r="R87" s="4"/>
      <c r="S87" s="4"/>
      <c r="T87" s="4"/>
      <c r="U87" s="4"/>
      <c r="V87" s="4"/>
      <c r="W87" s="4"/>
      <c r="X87" s="4"/>
      <c r="Y87" s="4"/>
    </row>
    <row r="88" spans="1:25" ht="27.75" customHeight="1">
      <c r="A88" s="338" t="s">
        <v>223</v>
      </c>
      <c r="B88" s="258"/>
      <c r="C88" s="258"/>
      <c r="D88" s="258"/>
      <c r="E88" s="133">
        <f>B97</f>
        <v>71352.894948812347</v>
      </c>
      <c r="F88" s="4"/>
      <c r="G88" s="4"/>
      <c r="H88" s="4"/>
      <c r="I88" s="4"/>
      <c r="J88" s="4"/>
      <c r="K88" s="4"/>
      <c r="L88" s="4"/>
      <c r="M88" s="4"/>
      <c r="N88" s="4"/>
      <c r="O88" s="4"/>
      <c r="P88" s="4"/>
      <c r="Q88" s="4"/>
      <c r="R88" s="4"/>
      <c r="S88" s="4"/>
      <c r="T88" s="4"/>
      <c r="U88" s="4"/>
      <c r="V88" s="4"/>
      <c r="W88" s="4"/>
      <c r="X88" s="4"/>
      <c r="Y88" s="4"/>
    </row>
    <row r="89" spans="1:25" ht="12.75" customHeight="1">
      <c r="A89" s="338" t="s">
        <v>224</v>
      </c>
      <c r="B89" s="258"/>
      <c r="C89" s="258"/>
      <c r="D89" s="258"/>
      <c r="E89" s="133">
        <f>E87-E88</f>
        <v>105160.26078710912</v>
      </c>
      <c r="F89" s="4"/>
      <c r="G89" s="4"/>
      <c r="H89" s="4"/>
      <c r="I89" s="4"/>
      <c r="J89" s="4"/>
      <c r="K89" s="4"/>
      <c r="L89" s="4"/>
      <c r="M89" s="4"/>
      <c r="N89" s="4"/>
      <c r="O89" s="4"/>
      <c r="P89" s="4"/>
      <c r="Q89" s="4"/>
      <c r="R89" s="4"/>
      <c r="S89" s="4"/>
      <c r="T89" s="4"/>
      <c r="U89" s="4"/>
      <c r="V89" s="4"/>
      <c r="W89" s="4"/>
      <c r="X89" s="4"/>
      <c r="Y89" s="4"/>
    </row>
    <row r="90" spans="1:25" ht="12.75" customHeight="1">
      <c r="A90" s="338" t="s">
        <v>225</v>
      </c>
      <c r="B90" s="258"/>
      <c r="C90" s="258"/>
      <c r="D90" s="258"/>
      <c r="E90" s="134">
        <f>E89/E77</f>
        <v>5.4254647358885709E-2</v>
      </c>
      <c r="F90" s="4"/>
      <c r="G90" s="4"/>
      <c r="H90" s="4"/>
      <c r="I90" s="4"/>
      <c r="J90" s="4"/>
      <c r="K90" s="4"/>
      <c r="L90" s="4"/>
      <c r="M90" s="4"/>
      <c r="N90" s="4"/>
      <c r="O90" s="4"/>
      <c r="P90" s="4"/>
      <c r="Q90" s="4"/>
      <c r="R90" s="4"/>
      <c r="S90" s="4"/>
      <c r="T90" s="4"/>
      <c r="U90" s="4"/>
      <c r="V90" s="4"/>
      <c r="W90" s="4"/>
      <c r="X90" s="4"/>
      <c r="Y90" s="4"/>
    </row>
    <row r="91" spans="1:25" ht="12.75" customHeight="1">
      <c r="A91" s="135"/>
      <c r="B91" s="259"/>
      <c r="C91" s="259"/>
      <c r="D91" s="259"/>
      <c r="E91" s="57"/>
      <c r="F91" s="4"/>
      <c r="G91" s="4"/>
      <c r="H91" s="4"/>
      <c r="I91" s="4"/>
      <c r="J91" s="4"/>
      <c r="K91" s="4"/>
      <c r="L91" s="4"/>
      <c r="M91" s="4"/>
      <c r="N91" s="4"/>
      <c r="O91" s="4"/>
      <c r="P91" s="4"/>
      <c r="Q91" s="4"/>
      <c r="R91" s="4"/>
      <c r="S91" s="4"/>
      <c r="T91" s="4"/>
      <c r="U91" s="4"/>
      <c r="V91" s="4"/>
      <c r="W91" s="4"/>
      <c r="X91" s="4"/>
      <c r="Y91" s="4"/>
    </row>
    <row r="92" spans="1:25" ht="12.75" customHeight="1"/>
    <row r="93" spans="1:25" ht="12.75" customHeight="1"/>
    <row r="94" spans="1:25" ht="12.75" customHeight="1">
      <c r="A94" s="339" t="s">
        <v>226</v>
      </c>
      <c r="B94" s="136">
        <f>100*'Page 1-Enrollment Plan'!D21</f>
        <v>14400</v>
      </c>
    </row>
    <row r="95" spans="1:25" ht="12.75" customHeight="1">
      <c r="A95" s="339" t="s">
        <v>227</v>
      </c>
      <c r="B95" s="136">
        <f>B77*0.03</f>
        <v>56952.89494881234</v>
      </c>
    </row>
    <row r="96" spans="1:25" ht="12.75" customHeight="1">
      <c r="A96" s="339" t="s">
        <v>228</v>
      </c>
      <c r="B96" s="136">
        <v>0</v>
      </c>
    </row>
    <row r="97" spans="1:2" ht="12.75" customHeight="1">
      <c r="A97" s="339" t="s">
        <v>229</v>
      </c>
      <c r="B97" s="136">
        <f>SUM(B94:B96)</f>
        <v>71352.894948812347</v>
      </c>
    </row>
    <row r="98" spans="1:2" ht="12.75" customHeight="1"/>
    <row r="99" spans="1:2" ht="12.75" customHeight="1"/>
    <row r="100" spans="1:2" ht="12.75" customHeight="1"/>
    <row r="101" spans="1:2" ht="12.75" customHeight="1"/>
    <row r="102" spans="1:2" ht="12.75" customHeight="1"/>
    <row r="103" spans="1:2" ht="12.75" customHeight="1"/>
    <row r="104" spans="1:2" ht="12.75" customHeight="1"/>
    <row r="105" spans="1:2" ht="12.75" customHeight="1"/>
    <row r="106" spans="1:2" ht="12.75" customHeight="1"/>
    <row r="107" spans="1:2" ht="12.75" customHeight="1"/>
    <row r="108" spans="1:2" ht="12.75" customHeight="1"/>
    <row r="109" spans="1:2" ht="12.75" customHeight="1"/>
    <row r="110" spans="1:2" ht="12.75" customHeight="1"/>
    <row r="111" spans="1:2" ht="12.75" customHeight="1"/>
    <row r="112" spans="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B3:E3"/>
  </mergeCells>
  <printOptions horizontalCentered="1"/>
  <pageMargins left="0.25" right="0.25" top="0.42986111111111103" bottom="0.65972222222222199"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1000"/>
  <sheetViews>
    <sheetView workbookViewId="0"/>
  </sheetViews>
  <sheetFormatPr defaultColWidth="12.5703125" defaultRowHeight="15" customHeight="1"/>
  <cols>
    <col min="1" max="1" width="46.5703125" customWidth="1"/>
    <col min="2" max="3" width="15.85546875" customWidth="1"/>
    <col min="4" max="4" width="15.85546875" hidden="1" customWidth="1"/>
    <col min="5" max="5" width="15.85546875" customWidth="1"/>
    <col min="6" max="25" width="8.5703125" customWidth="1"/>
  </cols>
  <sheetData>
    <row r="1" spans="1:25" ht="12.75" customHeight="1">
      <c r="A1" s="109">
        <f>'Page 3-Assumptions'!A1</f>
        <v>0</v>
      </c>
      <c r="B1" s="110"/>
      <c r="C1" s="110"/>
      <c r="D1" s="110"/>
      <c r="E1" s="111"/>
      <c r="F1" s="4"/>
      <c r="G1" s="4"/>
      <c r="H1" s="4"/>
      <c r="I1" s="4"/>
      <c r="J1" s="4"/>
      <c r="K1" s="4"/>
      <c r="L1" s="4"/>
      <c r="M1" s="4"/>
      <c r="N1" s="4"/>
      <c r="O1" s="4"/>
      <c r="P1" s="4"/>
      <c r="Q1" s="4"/>
      <c r="R1" s="4"/>
      <c r="S1" s="4"/>
      <c r="T1" s="4"/>
      <c r="U1" s="4"/>
      <c r="V1" s="4"/>
      <c r="W1" s="4"/>
      <c r="X1" s="4"/>
      <c r="Y1" s="4"/>
    </row>
    <row r="2" spans="1:25" ht="18.600000000000001">
      <c r="A2" s="321" t="str">
        <f>B3</f>
        <v>YEAR 4</v>
      </c>
      <c r="B2" s="258"/>
      <c r="C2" s="258"/>
      <c r="D2" s="258"/>
      <c r="E2" s="27"/>
      <c r="F2" s="4"/>
      <c r="G2" s="4"/>
      <c r="H2" s="4"/>
      <c r="I2" s="4"/>
      <c r="J2" s="4"/>
      <c r="K2" s="4"/>
      <c r="L2" s="4"/>
      <c r="M2" s="4"/>
      <c r="N2" s="4"/>
      <c r="O2" s="4"/>
      <c r="P2" s="4"/>
      <c r="Q2" s="4"/>
      <c r="R2" s="4"/>
      <c r="S2" s="4"/>
      <c r="T2" s="4"/>
      <c r="U2" s="4"/>
      <c r="V2" s="4"/>
      <c r="W2" s="4"/>
      <c r="X2" s="4"/>
      <c r="Y2" s="4"/>
    </row>
    <row r="3" spans="1:25" ht="12.75" customHeight="1">
      <c r="A3" s="322"/>
      <c r="B3" s="323" t="str">
        <f>'Page 10-6 yr Budget-detail'!F4</f>
        <v>YEAR 4</v>
      </c>
      <c r="C3" s="252"/>
      <c r="D3" s="252"/>
      <c r="E3" s="253"/>
      <c r="F3" s="112"/>
      <c r="G3" s="112"/>
      <c r="H3" s="112"/>
      <c r="I3" s="112"/>
      <c r="J3" s="112"/>
      <c r="K3" s="112"/>
      <c r="L3" s="112"/>
      <c r="M3" s="112"/>
      <c r="N3" s="112"/>
      <c r="O3" s="112"/>
      <c r="P3" s="112"/>
      <c r="Q3" s="112"/>
      <c r="R3" s="112"/>
      <c r="S3" s="112"/>
      <c r="T3" s="112"/>
      <c r="U3" s="112"/>
      <c r="V3" s="112"/>
      <c r="W3" s="112"/>
      <c r="X3" s="112"/>
      <c r="Y3" s="112"/>
    </row>
    <row r="4" spans="1:25" ht="12.75" customHeight="1">
      <c r="A4" s="256"/>
      <c r="B4" s="113" t="s">
        <v>153</v>
      </c>
      <c r="C4" s="113" t="s">
        <v>154</v>
      </c>
      <c r="D4" s="113" t="s">
        <v>231</v>
      </c>
      <c r="E4" s="113" t="s">
        <v>148</v>
      </c>
      <c r="F4" s="112"/>
      <c r="G4" s="112"/>
      <c r="H4" s="112"/>
      <c r="I4" s="112"/>
      <c r="J4" s="112"/>
      <c r="K4" s="112"/>
      <c r="L4" s="112"/>
      <c r="M4" s="112"/>
      <c r="N4" s="112"/>
      <c r="O4" s="112"/>
      <c r="P4" s="112"/>
      <c r="Q4" s="112"/>
      <c r="R4" s="112"/>
      <c r="S4" s="112"/>
      <c r="T4" s="112"/>
      <c r="U4" s="112"/>
      <c r="V4" s="112"/>
      <c r="W4" s="112"/>
      <c r="X4" s="112"/>
      <c r="Y4" s="112"/>
    </row>
    <row r="5" spans="1:25" ht="12.75" customHeight="1">
      <c r="A5" s="324" t="s">
        <v>155</v>
      </c>
      <c r="B5" s="325"/>
      <c r="C5" s="325"/>
      <c r="D5" s="325"/>
      <c r="E5" s="139">
        <f>'Page 1-Enrollment Plan'!E21</f>
        <v>160</v>
      </c>
      <c r="F5" s="112"/>
      <c r="G5" s="112"/>
      <c r="H5" s="112"/>
      <c r="I5" s="112"/>
      <c r="J5" s="112"/>
      <c r="K5" s="112"/>
      <c r="L5" s="112"/>
      <c r="M5" s="112"/>
      <c r="N5" s="112"/>
      <c r="O5" s="112"/>
      <c r="P5" s="112"/>
      <c r="Q5" s="112"/>
      <c r="R5" s="112"/>
      <c r="S5" s="112"/>
      <c r="T5" s="112"/>
      <c r="U5" s="112"/>
      <c r="V5" s="112"/>
      <c r="W5" s="112"/>
      <c r="X5" s="112"/>
      <c r="Y5" s="112"/>
    </row>
    <row r="6" spans="1:25" ht="12.75" customHeight="1">
      <c r="A6" s="324" t="s">
        <v>156</v>
      </c>
      <c r="B6" s="325"/>
      <c r="C6" s="325"/>
      <c r="D6" s="325"/>
      <c r="E6" s="140">
        <f>'Page 1-Enrollment Plan'!E23</f>
        <v>120</v>
      </c>
      <c r="F6" s="112"/>
      <c r="G6" s="112"/>
      <c r="H6" s="112"/>
      <c r="I6" s="112"/>
      <c r="J6" s="112"/>
      <c r="K6" s="112"/>
      <c r="L6" s="112"/>
      <c r="M6" s="112"/>
      <c r="N6" s="112"/>
      <c r="O6" s="112"/>
      <c r="P6" s="112"/>
      <c r="Q6" s="112"/>
      <c r="R6" s="112"/>
      <c r="S6" s="112"/>
      <c r="T6" s="112"/>
      <c r="U6" s="112"/>
      <c r="V6" s="112"/>
      <c r="W6" s="112"/>
      <c r="X6" s="112"/>
      <c r="Y6" s="112"/>
    </row>
    <row r="7" spans="1:25" ht="12.75" customHeight="1">
      <c r="A7" s="256" t="s">
        <v>53</v>
      </c>
      <c r="B7" s="325"/>
      <c r="C7" s="325"/>
      <c r="D7" s="325"/>
      <c r="E7" s="326"/>
      <c r="F7" s="112"/>
      <c r="G7" s="112"/>
      <c r="H7" s="112"/>
      <c r="I7" s="112"/>
      <c r="J7" s="112"/>
      <c r="K7" s="112"/>
      <c r="L7" s="112"/>
      <c r="M7" s="112"/>
      <c r="N7" s="112"/>
      <c r="O7" s="112"/>
      <c r="P7" s="112"/>
      <c r="Q7" s="112"/>
      <c r="R7" s="112"/>
      <c r="S7" s="112"/>
      <c r="T7" s="112"/>
      <c r="U7" s="112"/>
      <c r="V7" s="112"/>
      <c r="W7" s="112"/>
      <c r="X7" s="112"/>
      <c r="Y7" s="112"/>
    </row>
    <row r="8" spans="1:25" ht="42" customHeight="1">
      <c r="A8" s="352" t="s">
        <v>157</v>
      </c>
      <c r="B8" s="120">
        <v>110000</v>
      </c>
      <c r="C8" s="116"/>
      <c r="D8" s="116"/>
      <c r="E8" s="118">
        <f t="shared" ref="E8:E29" si="0">SUM(B8:D8)</f>
        <v>110000</v>
      </c>
      <c r="F8" s="4"/>
      <c r="G8" s="4"/>
      <c r="H8" s="4"/>
      <c r="I8" s="4"/>
      <c r="J8" s="4"/>
      <c r="K8" s="4"/>
      <c r="L8" s="4"/>
      <c r="M8" s="4"/>
      <c r="N8" s="4"/>
      <c r="O8" s="4"/>
      <c r="P8" s="4"/>
      <c r="Q8" s="4"/>
      <c r="R8" s="4"/>
      <c r="S8" s="4"/>
      <c r="T8" s="4"/>
      <c r="U8" s="4"/>
      <c r="V8" s="4"/>
      <c r="W8" s="4"/>
      <c r="X8" s="4"/>
      <c r="Y8" s="4"/>
    </row>
    <row r="9" spans="1:25" ht="12.75" customHeight="1">
      <c r="A9" s="352" t="s">
        <v>158</v>
      </c>
      <c r="B9" s="353">
        <v>211345.9</v>
      </c>
      <c r="C9" s="119">
        <v>0</v>
      </c>
      <c r="D9" s="119">
        <v>0</v>
      </c>
      <c r="E9" s="118">
        <f t="shared" si="0"/>
        <v>211345.9</v>
      </c>
      <c r="F9" s="4"/>
      <c r="G9" s="4"/>
      <c r="H9" s="4"/>
      <c r="I9" s="4"/>
      <c r="J9" s="4"/>
      <c r="K9" s="4"/>
      <c r="L9" s="4"/>
      <c r="M9" s="4"/>
      <c r="N9" s="4"/>
      <c r="O9" s="4"/>
      <c r="P9" s="4"/>
      <c r="Q9" s="4"/>
      <c r="R9" s="4"/>
      <c r="S9" s="4"/>
      <c r="T9" s="4"/>
      <c r="U9" s="4"/>
      <c r="V9" s="4"/>
      <c r="W9" s="4"/>
      <c r="X9" s="4"/>
      <c r="Y9" s="4"/>
    </row>
    <row r="10" spans="1:25" ht="12.75" customHeight="1">
      <c r="A10" s="352" t="s">
        <v>159</v>
      </c>
      <c r="B10" s="120"/>
      <c r="C10" s="116"/>
      <c r="D10" s="116"/>
      <c r="E10" s="118">
        <f t="shared" si="0"/>
        <v>0</v>
      </c>
      <c r="F10" s="4"/>
      <c r="G10" s="4"/>
      <c r="H10" s="4"/>
      <c r="I10" s="4"/>
      <c r="J10" s="4"/>
      <c r="K10" s="4"/>
      <c r="L10" s="4"/>
      <c r="M10" s="4"/>
      <c r="N10" s="4"/>
      <c r="O10" s="4"/>
      <c r="P10" s="4"/>
      <c r="Q10" s="4"/>
      <c r="R10" s="4"/>
      <c r="S10" s="4"/>
      <c r="T10" s="4"/>
      <c r="U10" s="4"/>
      <c r="V10" s="4"/>
      <c r="W10" s="4"/>
      <c r="X10" s="4"/>
      <c r="Y10" s="4"/>
    </row>
    <row r="11" spans="1:25" ht="12.75" customHeight="1">
      <c r="A11" s="352" t="s">
        <v>160</v>
      </c>
      <c r="B11" s="120"/>
      <c r="C11" s="116"/>
      <c r="D11" s="116"/>
      <c r="E11" s="118">
        <f t="shared" si="0"/>
        <v>0</v>
      </c>
      <c r="F11" s="4"/>
      <c r="G11" s="4"/>
      <c r="H11" s="4"/>
      <c r="I11" s="4"/>
      <c r="J11" s="4"/>
      <c r="K11" s="4"/>
      <c r="L11" s="4"/>
      <c r="M11" s="4"/>
      <c r="N11" s="4"/>
      <c r="O11" s="4"/>
      <c r="P11" s="4"/>
      <c r="Q11" s="4"/>
      <c r="R11" s="4"/>
      <c r="S11" s="4"/>
      <c r="T11" s="4"/>
      <c r="U11" s="4"/>
      <c r="V11" s="4"/>
      <c r="W11" s="4"/>
      <c r="X11" s="4"/>
      <c r="Y11" s="4"/>
    </row>
    <row r="12" spans="1:25" ht="12.75" customHeight="1">
      <c r="A12" s="352" t="s">
        <v>161</v>
      </c>
      <c r="B12" s="143">
        <f>1600*'Page 3-Assumptions'!E70</f>
        <v>84480</v>
      </c>
      <c r="C12" s="116"/>
      <c r="D12" s="116"/>
      <c r="E12" s="118">
        <f t="shared" si="0"/>
        <v>84480</v>
      </c>
      <c r="F12" s="4"/>
      <c r="G12" s="4"/>
      <c r="H12" s="4"/>
      <c r="I12" s="4"/>
      <c r="J12" s="4"/>
      <c r="K12" s="4"/>
      <c r="L12" s="4"/>
      <c r="M12" s="4"/>
      <c r="N12" s="4"/>
      <c r="O12" s="4"/>
      <c r="P12" s="4"/>
      <c r="Q12" s="4"/>
      <c r="R12" s="4"/>
      <c r="S12" s="4"/>
      <c r="T12" s="4"/>
      <c r="U12" s="4"/>
      <c r="V12" s="4"/>
      <c r="W12" s="4"/>
      <c r="X12" s="4"/>
      <c r="Y12" s="4"/>
    </row>
    <row r="13" spans="1:25" ht="12.75" customHeight="1">
      <c r="A13" s="352" t="s">
        <v>162</v>
      </c>
      <c r="B13" s="143">
        <f>2500*'Page 3-Assumptions'!E72</f>
        <v>200000</v>
      </c>
      <c r="C13" s="116"/>
      <c r="D13" s="116"/>
      <c r="E13" s="118">
        <f t="shared" si="0"/>
        <v>200000</v>
      </c>
      <c r="F13" s="4"/>
      <c r="G13" s="4"/>
      <c r="H13" s="4"/>
      <c r="I13" s="4"/>
      <c r="J13" s="4"/>
      <c r="K13" s="4"/>
      <c r="L13" s="4"/>
      <c r="M13" s="4"/>
      <c r="N13" s="4"/>
      <c r="O13" s="4"/>
      <c r="P13" s="4"/>
      <c r="Q13" s="4"/>
      <c r="R13" s="4"/>
      <c r="S13" s="4"/>
      <c r="T13" s="4"/>
      <c r="U13" s="4"/>
      <c r="V13" s="4"/>
      <c r="W13" s="4"/>
      <c r="X13" s="4"/>
      <c r="Y13" s="4"/>
    </row>
    <row r="14" spans="1:25" ht="12.75" customHeight="1">
      <c r="A14" s="354" t="s">
        <v>163</v>
      </c>
      <c r="B14" s="120"/>
      <c r="C14" s="116"/>
      <c r="D14" s="116"/>
      <c r="E14" s="118">
        <f t="shared" si="0"/>
        <v>0</v>
      </c>
      <c r="F14" s="4"/>
      <c r="G14" s="4"/>
      <c r="H14" s="4"/>
      <c r="I14" s="4"/>
      <c r="J14" s="4"/>
      <c r="K14" s="4"/>
      <c r="L14" s="4"/>
      <c r="M14" s="4"/>
      <c r="N14" s="4"/>
      <c r="O14" s="4"/>
      <c r="P14" s="4"/>
      <c r="Q14" s="4"/>
      <c r="R14" s="4"/>
      <c r="S14" s="4"/>
      <c r="T14" s="4"/>
      <c r="U14" s="4"/>
      <c r="V14" s="4"/>
      <c r="W14" s="4"/>
      <c r="X14" s="4"/>
      <c r="Y14" s="4"/>
    </row>
    <row r="15" spans="1:25" ht="12.75" customHeight="1">
      <c r="A15" s="354" t="s">
        <v>164</v>
      </c>
      <c r="B15" s="125">
        <f>E6*'Page 3-Assumptions'!F8</f>
        <v>34930.763999999996</v>
      </c>
      <c r="C15" s="119">
        <v>0</v>
      </c>
      <c r="D15" s="119">
        <v>0</v>
      </c>
      <c r="E15" s="118">
        <f t="shared" si="0"/>
        <v>34930.763999999996</v>
      </c>
      <c r="F15" s="4"/>
      <c r="G15" s="4"/>
      <c r="H15" s="4"/>
      <c r="I15" s="4"/>
      <c r="J15" s="4"/>
      <c r="K15" s="4"/>
      <c r="L15" s="4"/>
      <c r="M15" s="4"/>
      <c r="N15" s="4"/>
      <c r="O15" s="4"/>
      <c r="P15" s="4"/>
      <c r="Q15" s="4"/>
      <c r="R15" s="4"/>
      <c r="S15" s="4"/>
      <c r="T15" s="4"/>
      <c r="U15" s="4"/>
      <c r="V15" s="4"/>
      <c r="W15" s="4"/>
      <c r="X15" s="4"/>
      <c r="Y15" s="4"/>
    </row>
    <row r="16" spans="1:25" ht="12.75" customHeight="1">
      <c r="A16" s="354" t="s">
        <v>166</v>
      </c>
      <c r="B16" s="125">
        <f>'Page 3-Assumptions'!F9</f>
        <v>19712</v>
      </c>
      <c r="C16" s="119">
        <v>0</v>
      </c>
      <c r="D16" s="119">
        <v>0</v>
      </c>
      <c r="E16" s="118">
        <f t="shared" si="0"/>
        <v>19712</v>
      </c>
      <c r="F16" s="4"/>
      <c r="G16" s="4"/>
      <c r="H16" s="4"/>
      <c r="I16" s="4"/>
      <c r="J16" s="4"/>
      <c r="K16" s="4"/>
      <c r="L16" s="4"/>
      <c r="M16" s="4"/>
      <c r="N16" s="4"/>
      <c r="O16" s="4"/>
      <c r="P16" s="4"/>
      <c r="Q16" s="4"/>
      <c r="R16" s="4"/>
      <c r="S16" s="4"/>
      <c r="T16" s="4"/>
      <c r="U16" s="4"/>
      <c r="V16" s="4"/>
      <c r="W16" s="4"/>
      <c r="X16" s="4"/>
      <c r="Y16" s="4"/>
    </row>
    <row r="17" spans="1:25" ht="12.75" customHeight="1">
      <c r="A17" s="352" t="s">
        <v>74</v>
      </c>
      <c r="B17" s="125">
        <v>0</v>
      </c>
      <c r="C17" s="119">
        <f>'Page 3-Assumptions'!$F$11</f>
        <v>2140.944</v>
      </c>
      <c r="D17" s="119">
        <v>0</v>
      </c>
      <c r="E17" s="118">
        <f t="shared" si="0"/>
        <v>2140.944</v>
      </c>
      <c r="F17" s="4"/>
      <c r="G17" s="4"/>
      <c r="H17" s="4"/>
      <c r="I17" s="4"/>
      <c r="J17" s="4"/>
      <c r="K17" s="4"/>
      <c r="L17" s="4"/>
      <c r="M17" s="4"/>
      <c r="N17" s="4"/>
      <c r="O17" s="4"/>
      <c r="P17" s="4"/>
      <c r="Q17" s="4"/>
      <c r="R17" s="4"/>
      <c r="S17" s="4"/>
      <c r="T17" s="4"/>
      <c r="U17" s="4"/>
      <c r="V17" s="4"/>
      <c r="W17" s="4"/>
      <c r="X17" s="4"/>
      <c r="Y17" s="4"/>
    </row>
    <row r="18" spans="1:25" ht="12.75" customHeight="1">
      <c r="A18" s="352" t="s">
        <v>80</v>
      </c>
      <c r="B18" s="125">
        <f>'Page 3-Assumptions'!F14</f>
        <v>500</v>
      </c>
      <c r="C18" s="119">
        <v>0</v>
      </c>
      <c r="D18" s="119">
        <v>0</v>
      </c>
      <c r="E18" s="118">
        <f t="shared" si="0"/>
        <v>500</v>
      </c>
      <c r="F18" s="4"/>
      <c r="G18" s="4"/>
      <c r="H18" s="4"/>
      <c r="I18" s="4"/>
      <c r="J18" s="4"/>
      <c r="K18" s="4"/>
      <c r="L18" s="4"/>
      <c r="M18" s="4"/>
      <c r="N18" s="4"/>
      <c r="O18" s="4"/>
      <c r="P18" s="4"/>
      <c r="Q18" s="4"/>
      <c r="R18" s="4"/>
      <c r="S18" s="4"/>
      <c r="T18" s="4"/>
      <c r="U18" s="4"/>
      <c r="V18" s="4"/>
      <c r="W18" s="4"/>
      <c r="X18" s="4"/>
      <c r="Y18" s="4"/>
    </row>
    <row r="19" spans="1:25" ht="12.75" customHeight="1">
      <c r="A19" s="352" t="s">
        <v>168</v>
      </c>
      <c r="B19" s="128">
        <v>0</v>
      </c>
      <c r="C19" s="116"/>
      <c r="D19" s="116"/>
      <c r="E19" s="118">
        <f t="shared" si="0"/>
        <v>0</v>
      </c>
      <c r="F19" s="4"/>
      <c r="G19" s="4"/>
      <c r="H19" s="4"/>
      <c r="I19" s="4"/>
      <c r="J19" s="4"/>
      <c r="K19" s="4"/>
      <c r="L19" s="4"/>
      <c r="M19" s="4"/>
      <c r="N19" s="4"/>
      <c r="O19" s="4"/>
      <c r="P19" s="4"/>
      <c r="Q19" s="4"/>
      <c r="R19" s="4"/>
      <c r="S19" s="4"/>
      <c r="T19" s="4"/>
      <c r="U19" s="4"/>
      <c r="V19" s="4"/>
      <c r="W19" s="4"/>
      <c r="X19" s="4"/>
      <c r="Y19" s="4"/>
    </row>
    <row r="20" spans="1:25" ht="12.75" customHeight="1">
      <c r="A20" s="352" t="s">
        <v>82</v>
      </c>
      <c r="B20" s="125">
        <f>'Page 3-Assumptions'!F16</f>
        <v>10438.26</v>
      </c>
      <c r="C20" s="119">
        <v>0</v>
      </c>
      <c r="D20" s="119">
        <v>0</v>
      </c>
      <c r="E20" s="118">
        <f t="shared" si="0"/>
        <v>10438.26</v>
      </c>
      <c r="F20" s="4"/>
      <c r="G20" s="4"/>
      <c r="H20" s="4"/>
      <c r="I20" s="4"/>
      <c r="J20" s="4"/>
      <c r="K20" s="4"/>
      <c r="L20" s="4"/>
      <c r="M20" s="4"/>
      <c r="N20" s="4"/>
      <c r="O20" s="4"/>
      <c r="P20" s="4"/>
      <c r="Q20" s="4"/>
      <c r="R20" s="4"/>
      <c r="S20" s="4"/>
      <c r="T20" s="4"/>
      <c r="U20" s="4"/>
      <c r="V20" s="4"/>
      <c r="W20" s="4"/>
      <c r="X20" s="4"/>
      <c r="Y20" s="4"/>
    </row>
    <row r="21" spans="1:25" ht="12.75" customHeight="1">
      <c r="A21" s="352" t="s">
        <v>88</v>
      </c>
      <c r="B21" s="125">
        <f>'Page 3-Assumptions'!F18</f>
        <v>96000</v>
      </c>
      <c r="C21" s="119">
        <v>0</v>
      </c>
      <c r="D21" s="119">
        <v>0</v>
      </c>
      <c r="E21" s="118">
        <f t="shared" si="0"/>
        <v>96000</v>
      </c>
      <c r="F21" s="4"/>
      <c r="G21" s="4"/>
      <c r="H21" s="4"/>
      <c r="I21" s="4"/>
      <c r="J21" s="4"/>
      <c r="K21" s="4"/>
      <c r="L21" s="4"/>
      <c r="M21" s="4"/>
      <c r="N21" s="4"/>
      <c r="O21" s="4"/>
      <c r="P21" s="4"/>
      <c r="Q21" s="4"/>
      <c r="R21" s="4"/>
      <c r="S21" s="4"/>
      <c r="T21" s="4"/>
      <c r="U21" s="4"/>
      <c r="V21" s="4"/>
      <c r="W21" s="4"/>
      <c r="X21" s="4"/>
      <c r="Y21" s="4"/>
    </row>
    <row r="22" spans="1:25" ht="12.75" customHeight="1">
      <c r="A22" s="162" t="s">
        <v>90</v>
      </c>
      <c r="B22" s="125">
        <v>0</v>
      </c>
      <c r="C22" s="119">
        <f>'Page 3-Assumptions'!$F$19</f>
        <v>26856</v>
      </c>
      <c r="D22" s="119">
        <v>0</v>
      </c>
      <c r="E22" s="118">
        <f t="shared" si="0"/>
        <v>26856</v>
      </c>
      <c r="F22" s="4"/>
      <c r="G22" s="4"/>
      <c r="H22" s="4"/>
      <c r="I22" s="4"/>
      <c r="J22" s="4"/>
      <c r="K22" s="4"/>
      <c r="L22" s="4"/>
      <c r="M22" s="4"/>
      <c r="N22" s="4"/>
      <c r="O22" s="4"/>
      <c r="P22" s="4"/>
      <c r="Q22" s="4"/>
      <c r="R22" s="4"/>
      <c r="S22" s="4"/>
      <c r="T22" s="4"/>
      <c r="U22" s="4"/>
      <c r="V22" s="4"/>
      <c r="W22" s="4"/>
      <c r="X22" s="4"/>
      <c r="Y22" s="4"/>
    </row>
    <row r="23" spans="1:25" ht="12.75" customHeight="1">
      <c r="A23" s="162" t="s">
        <v>169</v>
      </c>
      <c r="B23" s="125">
        <v>0</v>
      </c>
      <c r="C23" s="119">
        <f>'Page 3-Assumptions'!$F$20</f>
        <v>17600</v>
      </c>
      <c r="D23" s="119">
        <v>0</v>
      </c>
      <c r="E23" s="118">
        <f t="shared" si="0"/>
        <v>17600</v>
      </c>
      <c r="F23" s="4"/>
      <c r="G23" s="4"/>
      <c r="H23" s="4"/>
      <c r="I23" s="4"/>
      <c r="J23" s="4"/>
      <c r="K23" s="4"/>
      <c r="L23" s="4"/>
      <c r="M23" s="4"/>
      <c r="N23" s="4"/>
      <c r="O23" s="4"/>
      <c r="P23" s="4"/>
      <c r="Q23" s="4"/>
      <c r="R23" s="4"/>
      <c r="S23" s="4"/>
      <c r="T23" s="4"/>
      <c r="U23" s="4"/>
      <c r="V23" s="4"/>
      <c r="W23" s="4"/>
      <c r="X23" s="4"/>
      <c r="Y23" s="4"/>
    </row>
    <row r="24" spans="1:25" ht="12.75" customHeight="1">
      <c r="A24" s="162" t="s">
        <v>95</v>
      </c>
      <c r="B24" s="125">
        <v>0</v>
      </c>
      <c r="C24" s="119">
        <f>'Page 3-Assumptions'!$F$21</f>
        <v>762.52800000000002</v>
      </c>
      <c r="D24" s="119">
        <v>0</v>
      </c>
      <c r="E24" s="118">
        <f t="shared" si="0"/>
        <v>762.52800000000002</v>
      </c>
      <c r="F24" s="4"/>
      <c r="G24" s="4"/>
      <c r="H24" s="4"/>
      <c r="I24" s="4"/>
      <c r="J24" s="4"/>
      <c r="K24" s="4"/>
      <c r="L24" s="4"/>
      <c r="M24" s="4"/>
      <c r="N24" s="4"/>
      <c r="O24" s="4"/>
      <c r="P24" s="4"/>
      <c r="Q24" s="4"/>
      <c r="R24" s="4"/>
      <c r="S24" s="4"/>
      <c r="T24" s="4"/>
      <c r="U24" s="4"/>
      <c r="V24" s="4"/>
      <c r="W24" s="4"/>
      <c r="X24" s="4"/>
      <c r="Y24" s="4"/>
    </row>
    <row r="25" spans="1:25" ht="12.75" customHeight="1">
      <c r="A25" s="352" t="s">
        <v>170</v>
      </c>
      <c r="B25" s="125">
        <v>0</v>
      </c>
      <c r="C25" s="119">
        <f>'Page 3-Assumptions'!$F$22</f>
        <v>1500</v>
      </c>
      <c r="D25" s="119">
        <v>0</v>
      </c>
      <c r="E25" s="118">
        <f t="shared" si="0"/>
        <v>1500</v>
      </c>
      <c r="F25" s="4"/>
      <c r="G25" s="4"/>
      <c r="H25" s="4"/>
      <c r="I25" s="4"/>
      <c r="J25" s="4"/>
      <c r="K25" s="4"/>
      <c r="L25" s="4"/>
      <c r="M25" s="4"/>
      <c r="N25" s="4"/>
      <c r="O25" s="4"/>
      <c r="P25" s="4"/>
      <c r="Q25" s="4"/>
      <c r="R25" s="4"/>
      <c r="S25" s="4"/>
      <c r="T25" s="4"/>
      <c r="U25" s="4"/>
      <c r="V25" s="4"/>
      <c r="W25" s="4"/>
      <c r="X25" s="4"/>
      <c r="Y25" s="4"/>
    </row>
    <row r="26" spans="1:25" ht="12.75" customHeight="1">
      <c r="A26" s="162" t="s">
        <v>171</v>
      </c>
      <c r="B26" s="120">
        <f>((6.67*'Page 1-Enrollment Plan'!C23*160)*1.02^4)</f>
        <v>87793.041687551988</v>
      </c>
      <c r="C26" s="116"/>
      <c r="D26" s="116"/>
      <c r="E26" s="118">
        <f t="shared" si="0"/>
        <v>87793.041687551988</v>
      </c>
      <c r="F26" s="4"/>
      <c r="G26" s="4"/>
      <c r="H26" s="4"/>
      <c r="I26" s="4"/>
      <c r="J26" s="4"/>
      <c r="K26" s="4"/>
      <c r="L26" s="4"/>
      <c r="M26" s="4"/>
      <c r="N26" s="4"/>
      <c r="O26" s="4"/>
      <c r="P26" s="4"/>
      <c r="Q26" s="4"/>
      <c r="R26" s="4"/>
      <c r="S26" s="4"/>
      <c r="T26" s="4"/>
      <c r="U26" s="4"/>
      <c r="V26" s="4"/>
      <c r="W26" s="4"/>
      <c r="X26" s="4"/>
      <c r="Y26" s="4"/>
    </row>
    <row r="27" spans="1:25" ht="12.75" customHeight="1">
      <c r="A27" s="162" t="s">
        <v>172</v>
      </c>
      <c r="B27" s="125">
        <v>0</v>
      </c>
      <c r="C27" s="116"/>
      <c r="D27" s="116"/>
      <c r="E27" s="118">
        <f t="shared" si="0"/>
        <v>0</v>
      </c>
      <c r="F27" s="4"/>
      <c r="G27" s="4"/>
      <c r="H27" s="4"/>
      <c r="I27" s="4"/>
      <c r="J27" s="4"/>
      <c r="K27" s="4"/>
      <c r="L27" s="4"/>
      <c r="M27" s="4"/>
      <c r="N27" s="4"/>
      <c r="O27" s="4"/>
      <c r="P27" s="4"/>
      <c r="Q27" s="4"/>
      <c r="R27" s="4"/>
      <c r="S27" s="4"/>
      <c r="T27" s="4"/>
      <c r="U27" s="4"/>
      <c r="V27" s="4"/>
      <c r="W27" s="4"/>
      <c r="X27" s="4"/>
      <c r="Y27" s="4"/>
    </row>
    <row r="28" spans="1:25" ht="12.75" customHeight="1">
      <c r="A28" s="162" t="s">
        <v>57</v>
      </c>
      <c r="B28" s="125">
        <f>E6*'Page 3-Assumptions'!F5</f>
        <v>1197379.1356368745</v>
      </c>
      <c r="C28" s="119">
        <v>0</v>
      </c>
      <c r="D28" s="119">
        <v>0</v>
      </c>
      <c r="E28" s="118">
        <f t="shared" si="0"/>
        <v>1197379.1356368745</v>
      </c>
      <c r="F28" s="4"/>
      <c r="G28" s="4"/>
      <c r="H28" s="4"/>
      <c r="I28" s="4"/>
      <c r="J28" s="4"/>
      <c r="K28" s="4"/>
      <c r="L28" s="4"/>
      <c r="M28" s="4"/>
      <c r="N28" s="4"/>
      <c r="O28" s="4"/>
      <c r="P28" s="4"/>
      <c r="Q28" s="4"/>
      <c r="R28" s="4"/>
      <c r="S28" s="4"/>
      <c r="T28" s="4"/>
      <c r="U28" s="4"/>
      <c r="V28" s="4"/>
      <c r="W28" s="4"/>
      <c r="X28" s="4"/>
      <c r="Y28" s="4"/>
    </row>
    <row r="29" spans="1:25" ht="12.75" customHeight="1">
      <c r="A29" s="352" t="s">
        <v>232</v>
      </c>
      <c r="B29" s="355">
        <v>246856.82</v>
      </c>
      <c r="C29" s="121">
        <v>0</v>
      </c>
      <c r="D29" s="121">
        <v>0</v>
      </c>
      <c r="E29" s="118">
        <f t="shared" si="0"/>
        <v>246856.82</v>
      </c>
      <c r="F29" s="4"/>
      <c r="G29" s="4"/>
      <c r="H29" s="4"/>
      <c r="I29" s="4"/>
      <c r="J29" s="4"/>
      <c r="K29" s="4"/>
      <c r="L29" s="4"/>
      <c r="M29" s="4"/>
      <c r="N29" s="4"/>
      <c r="O29" s="4"/>
      <c r="P29" s="4"/>
      <c r="Q29" s="4"/>
      <c r="R29" s="4"/>
      <c r="S29" s="4"/>
      <c r="T29" s="4"/>
      <c r="U29" s="4"/>
      <c r="V29" s="4"/>
      <c r="W29" s="4"/>
      <c r="X29" s="4"/>
      <c r="Y29" s="4"/>
    </row>
    <row r="30" spans="1:25" ht="12.75" customHeight="1">
      <c r="A30" s="101" t="s">
        <v>174</v>
      </c>
      <c r="B30" s="125">
        <f t="shared" ref="B30:E30" si="1">SUM(B8:B29)</f>
        <v>2299435.9213244263</v>
      </c>
      <c r="C30" s="123">
        <f t="shared" si="1"/>
        <v>48859.472000000002</v>
      </c>
      <c r="D30" s="123">
        <f t="shared" si="1"/>
        <v>0</v>
      </c>
      <c r="E30" s="123">
        <f t="shared" si="1"/>
        <v>2348295.3933244264</v>
      </c>
      <c r="F30" s="4"/>
      <c r="G30" s="4"/>
      <c r="H30" s="4"/>
      <c r="I30" s="4"/>
      <c r="J30" s="4"/>
      <c r="K30" s="4"/>
      <c r="L30" s="4"/>
      <c r="M30" s="4"/>
      <c r="N30" s="4"/>
      <c r="O30" s="4"/>
      <c r="P30" s="4"/>
      <c r="Q30" s="4"/>
      <c r="R30" s="4"/>
      <c r="S30" s="4"/>
      <c r="T30" s="4"/>
      <c r="U30" s="4"/>
      <c r="V30" s="4"/>
      <c r="W30" s="4"/>
      <c r="X30" s="4"/>
      <c r="Y30" s="4"/>
    </row>
    <row r="31" spans="1:25" ht="12.75" customHeight="1">
      <c r="A31" s="356"/>
      <c r="B31" s="163"/>
      <c r="C31" s="329"/>
      <c r="D31" s="329"/>
      <c r="E31" s="330"/>
      <c r="F31" s="4"/>
      <c r="G31" s="4"/>
      <c r="H31" s="4"/>
      <c r="I31" s="4"/>
      <c r="J31" s="4"/>
      <c r="K31" s="4"/>
      <c r="L31" s="4"/>
      <c r="M31" s="4"/>
      <c r="N31" s="4"/>
      <c r="O31" s="4"/>
      <c r="P31" s="4"/>
      <c r="Q31" s="4"/>
      <c r="R31" s="4"/>
      <c r="S31" s="4"/>
      <c r="T31" s="4"/>
      <c r="U31" s="4"/>
      <c r="V31" s="4"/>
      <c r="W31" s="4"/>
      <c r="X31" s="4"/>
      <c r="Y31" s="4"/>
    </row>
    <row r="32" spans="1:25" ht="12.75" customHeight="1">
      <c r="A32" s="357" t="s">
        <v>106</v>
      </c>
      <c r="B32" s="163"/>
      <c r="C32" s="329"/>
      <c r="D32" s="329"/>
      <c r="E32" s="330"/>
      <c r="F32" s="4"/>
      <c r="G32" s="4"/>
      <c r="H32" s="4"/>
      <c r="I32" s="4"/>
      <c r="J32" s="4"/>
      <c r="K32" s="4"/>
      <c r="L32" s="4"/>
      <c r="M32" s="4"/>
      <c r="N32" s="4"/>
      <c r="O32" s="4"/>
      <c r="P32" s="4"/>
      <c r="Q32" s="4"/>
      <c r="R32" s="4"/>
      <c r="S32" s="4"/>
      <c r="T32" s="4"/>
      <c r="U32" s="4"/>
      <c r="V32" s="4"/>
      <c r="W32" s="4"/>
      <c r="X32" s="4"/>
      <c r="Y32" s="4"/>
    </row>
    <row r="33" spans="1:25" ht="12.75" customHeight="1">
      <c r="A33" s="358" t="s">
        <v>175</v>
      </c>
      <c r="B33" s="125">
        <f>'Page 2-Staffing Plan'!F32</f>
        <v>1143720</v>
      </c>
      <c r="C33" s="116"/>
      <c r="D33" s="116"/>
      <c r="E33" s="118">
        <f t="shared" ref="E33:E76" si="2">SUM(B33:D33)</f>
        <v>1143720</v>
      </c>
      <c r="F33" s="4"/>
      <c r="G33" s="4"/>
      <c r="H33" s="4"/>
      <c r="I33" s="4"/>
      <c r="J33" s="4"/>
      <c r="K33" s="4"/>
      <c r="L33" s="4"/>
      <c r="M33" s="4"/>
      <c r="N33" s="4"/>
      <c r="O33" s="4"/>
      <c r="P33" s="4"/>
      <c r="Q33" s="4"/>
      <c r="R33" s="4"/>
      <c r="S33" s="4"/>
      <c r="T33" s="4"/>
      <c r="U33" s="4"/>
      <c r="V33" s="4"/>
      <c r="W33" s="4"/>
      <c r="X33" s="4"/>
      <c r="Y33" s="4"/>
    </row>
    <row r="34" spans="1:25" ht="12.75" customHeight="1">
      <c r="A34" s="358" t="s">
        <v>176</v>
      </c>
      <c r="B34" s="119">
        <v>12080</v>
      </c>
      <c r="C34" s="116"/>
      <c r="D34" s="116"/>
      <c r="E34" s="118">
        <f t="shared" si="2"/>
        <v>12080</v>
      </c>
      <c r="F34" s="4"/>
      <c r="G34" s="4"/>
      <c r="H34" s="4"/>
      <c r="I34" s="4"/>
      <c r="J34" s="4"/>
      <c r="K34" s="4"/>
      <c r="L34" s="4"/>
      <c r="M34" s="4"/>
      <c r="N34" s="4"/>
      <c r="O34" s="4"/>
      <c r="P34" s="4"/>
      <c r="Q34" s="4"/>
      <c r="R34" s="4"/>
      <c r="S34" s="4"/>
      <c r="T34" s="4"/>
      <c r="U34" s="4"/>
      <c r="V34" s="4"/>
      <c r="W34" s="4"/>
      <c r="X34" s="4"/>
      <c r="Y34" s="4"/>
    </row>
    <row r="35" spans="1:25" ht="12.75" customHeight="1">
      <c r="A35" s="358" t="s">
        <v>177</v>
      </c>
      <c r="B35" s="125">
        <f>(B33+B34)*1.45%</f>
        <v>16759.099999999999</v>
      </c>
      <c r="C35" s="116"/>
      <c r="D35" s="116"/>
      <c r="E35" s="118">
        <f t="shared" si="2"/>
        <v>16759.099999999999</v>
      </c>
      <c r="F35" s="4"/>
      <c r="G35" s="4"/>
      <c r="H35" s="4"/>
      <c r="I35" s="4"/>
      <c r="J35" s="4"/>
      <c r="K35" s="4"/>
      <c r="L35" s="4"/>
      <c r="M35" s="4"/>
      <c r="N35" s="4"/>
      <c r="O35" s="4"/>
      <c r="P35" s="4"/>
      <c r="Q35" s="4"/>
      <c r="R35" s="4"/>
      <c r="S35" s="4"/>
      <c r="T35" s="4"/>
      <c r="U35" s="4"/>
      <c r="V35" s="4"/>
      <c r="W35" s="4"/>
      <c r="X35" s="4"/>
      <c r="Y35" s="4"/>
    </row>
    <row r="36" spans="1:25" ht="12.75" customHeight="1">
      <c r="A36" s="358" t="s">
        <v>178</v>
      </c>
      <c r="B36" s="125">
        <v>0</v>
      </c>
      <c r="C36" s="116"/>
      <c r="D36" s="116"/>
      <c r="E36" s="118">
        <f t="shared" si="2"/>
        <v>0</v>
      </c>
      <c r="F36" s="4"/>
      <c r="G36" s="4"/>
      <c r="H36" s="4"/>
      <c r="I36" s="4"/>
      <c r="J36" s="4"/>
      <c r="K36" s="4"/>
      <c r="L36" s="4"/>
      <c r="M36" s="4"/>
      <c r="N36" s="4"/>
      <c r="O36" s="4"/>
      <c r="P36" s="4"/>
      <c r="Q36" s="4"/>
      <c r="R36" s="4"/>
      <c r="S36" s="4"/>
      <c r="T36" s="4"/>
      <c r="U36" s="4"/>
      <c r="V36" s="4"/>
      <c r="W36" s="4"/>
      <c r="X36" s="4"/>
      <c r="Y36" s="4"/>
    </row>
    <row r="37" spans="1:25" ht="12.75" customHeight="1">
      <c r="A37" s="352" t="s">
        <v>179</v>
      </c>
      <c r="B37" s="125">
        <f>((E33+E34)*'Page 3-Assumptions'!F31)-C37</f>
        <v>261788.7</v>
      </c>
      <c r="C37" s="146"/>
      <c r="D37" s="116"/>
      <c r="E37" s="118">
        <f t="shared" si="2"/>
        <v>261788.7</v>
      </c>
      <c r="F37" s="4"/>
      <c r="G37" s="4"/>
      <c r="H37" s="4"/>
      <c r="I37" s="4"/>
      <c r="J37" s="4"/>
      <c r="K37" s="4"/>
      <c r="L37" s="4"/>
      <c r="M37" s="4"/>
      <c r="N37" s="4"/>
      <c r="O37" s="4"/>
      <c r="P37" s="4"/>
      <c r="Q37" s="4"/>
      <c r="R37" s="4"/>
      <c r="S37" s="4"/>
      <c r="T37" s="4"/>
      <c r="U37" s="4"/>
      <c r="V37" s="4"/>
      <c r="W37" s="4"/>
      <c r="X37" s="4"/>
      <c r="Y37" s="4"/>
    </row>
    <row r="38" spans="1:25" ht="12.75" customHeight="1">
      <c r="A38" s="358" t="s">
        <v>180</v>
      </c>
      <c r="B38" s="125">
        <f>('Page 3-Assumptions'!B41*1.05^4)*20*0.8</f>
        <v>97240.5</v>
      </c>
      <c r="C38" s="116"/>
      <c r="D38" s="116"/>
      <c r="E38" s="118">
        <f t="shared" si="2"/>
        <v>97240.5</v>
      </c>
      <c r="F38" s="4"/>
      <c r="G38" s="4"/>
      <c r="H38" s="4"/>
      <c r="I38" s="4"/>
      <c r="J38" s="4"/>
      <c r="K38" s="4"/>
      <c r="L38" s="4"/>
      <c r="M38" s="4"/>
      <c r="N38" s="4"/>
      <c r="O38" s="4"/>
      <c r="P38" s="4"/>
      <c r="Q38" s="4"/>
      <c r="R38" s="4"/>
      <c r="S38" s="4"/>
      <c r="T38" s="4"/>
      <c r="U38" s="4"/>
      <c r="V38" s="4"/>
      <c r="W38" s="4"/>
      <c r="X38" s="4"/>
      <c r="Y38" s="4"/>
    </row>
    <row r="39" spans="1:25" ht="12.75" customHeight="1">
      <c r="A39" s="358" t="s">
        <v>181</v>
      </c>
      <c r="B39" s="125">
        <f>('Page 3-Assumptions'!B42*1.02^3)*20*0.8</f>
        <v>5603.1782400000002</v>
      </c>
      <c r="C39" s="116"/>
      <c r="D39" s="116"/>
      <c r="E39" s="118">
        <f t="shared" si="2"/>
        <v>5603.1782400000002</v>
      </c>
      <c r="F39" s="4"/>
      <c r="G39" s="4"/>
      <c r="H39" s="4"/>
      <c r="I39" s="4"/>
      <c r="J39" s="4"/>
      <c r="K39" s="4"/>
      <c r="L39" s="4"/>
      <c r="M39" s="4"/>
      <c r="N39" s="4"/>
      <c r="O39" s="4"/>
      <c r="P39" s="4"/>
      <c r="Q39" s="4"/>
      <c r="R39" s="4"/>
      <c r="S39" s="4"/>
      <c r="T39" s="4"/>
      <c r="U39" s="4"/>
      <c r="V39" s="4"/>
      <c r="W39" s="4"/>
      <c r="X39" s="4"/>
      <c r="Y39" s="4"/>
    </row>
    <row r="40" spans="1:25" ht="12.75" customHeight="1">
      <c r="A40" s="358" t="s">
        <v>182</v>
      </c>
      <c r="B40" s="125">
        <f>'Page 3-Assumptions'!$B$43*'Page 2-Staffing Plan'!F37</f>
        <v>0</v>
      </c>
      <c r="C40" s="116"/>
      <c r="D40" s="116"/>
      <c r="E40" s="118">
        <f t="shared" si="2"/>
        <v>0</v>
      </c>
      <c r="F40" s="4"/>
      <c r="G40" s="4"/>
      <c r="H40" s="4"/>
      <c r="I40" s="4"/>
      <c r="J40" s="4"/>
      <c r="K40" s="4"/>
      <c r="L40" s="4"/>
      <c r="M40" s="4"/>
      <c r="N40" s="4"/>
      <c r="O40" s="4"/>
      <c r="P40" s="4"/>
      <c r="Q40" s="4"/>
      <c r="R40" s="4"/>
      <c r="S40" s="4"/>
      <c r="T40" s="4"/>
      <c r="U40" s="4"/>
      <c r="V40" s="4"/>
      <c r="W40" s="4"/>
      <c r="X40" s="4"/>
      <c r="Y40" s="4"/>
    </row>
    <row r="41" spans="1:25" ht="12.75" customHeight="1">
      <c r="A41" s="352" t="s">
        <v>183</v>
      </c>
      <c r="B41" s="125">
        <v>87793</v>
      </c>
      <c r="C41" s="117"/>
      <c r="D41" s="116"/>
      <c r="E41" s="118">
        <f t="shared" si="2"/>
        <v>87793</v>
      </c>
      <c r="F41" s="4"/>
      <c r="G41" s="4"/>
      <c r="H41" s="4"/>
      <c r="I41" s="4"/>
      <c r="J41" s="4"/>
      <c r="K41" s="4"/>
      <c r="L41" s="4"/>
      <c r="M41" s="4"/>
      <c r="N41" s="4"/>
      <c r="O41" s="4"/>
      <c r="P41" s="4"/>
      <c r="Q41" s="4"/>
      <c r="R41" s="4"/>
      <c r="S41" s="4"/>
      <c r="T41" s="4"/>
      <c r="U41" s="4"/>
      <c r="V41" s="4"/>
      <c r="W41" s="4"/>
      <c r="X41" s="4"/>
      <c r="Y41" s="4"/>
    </row>
    <row r="42" spans="1:25" ht="12.75" customHeight="1">
      <c r="A42" s="352" t="s">
        <v>184</v>
      </c>
      <c r="B42" s="125">
        <f>('Page 3-Assumptions'!$B$45*'Page 2-Staffing Plan'!F37)</f>
        <v>2634</v>
      </c>
      <c r="C42" s="116"/>
      <c r="D42" s="116"/>
      <c r="E42" s="118">
        <f t="shared" si="2"/>
        <v>2634</v>
      </c>
      <c r="F42" s="4"/>
      <c r="G42" s="4"/>
      <c r="H42" s="4"/>
      <c r="I42" s="4"/>
      <c r="J42" s="4"/>
      <c r="K42" s="4"/>
      <c r="L42" s="4"/>
      <c r="M42" s="4"/>
      <c r="N42" s="4"/>
      <c r="O42" s="4"/>
      <c r="P42" s="4"/>
      <c r="Q42" s="4"/>
      <c r="R42" s="4"/>
      <c r="S42" s="4"/>
      <c r="T42" s="4"/>
      <c r="U42" s="4"/>
      <c r="V42" s="4"/>
      <c r="W42" s="4"/>
      <c r="X42" s="4"/>
      <c r="Y42" s="4"/>
    </row>
    <row r="43" spans="1:25" ht="12.75" customHeight="1">
      <c r="A43" s="358" t="s">
        <v>185</v>
      </c>
      <c r="B43" s="125">
        <v>50000</v>
      </c>
      <c r="C43" s="333"/>
      <c r="D43" s="333"/>
      <c r="E43" s="118">
        <f t="shared" si="2"/>
        <v>50000</v>
      </c>
      <c r="F43" s="4"/>
      <c r="G43" s="4"/>
      <c r="H43" s="4"/>
      <c r="I43" s="4"/>
      <c r="J43" s="4"/>
      <c r="K43" s="4"/>
      <c r="L43" s="4"/>
      <c r="M43" s="4"/>
      <c r="N43" s="4"/>
      <c r="O43" s="4"/>
      <c r="P43" s="4"/>
      <c r="Q43" s="4"/>
      <c r="R43" s="4"/>
      <c r="S43" s="4"/>
      <c r="T43" s="4"/>
      <c r="U43" s="4"/>
      <c r="V43" s="4"/>
      <c r="W43" s="4"/>
      <c r="X43" s="4"/>
      <c r="Y43" s="4"/>
    </row>
    <row r="44" spans="1:25" ht="12.75" customHeight="1">
      <c r="A44" s="352" t="s">
        <v>186</v>
      </c>
      <c r="B44" s="125">
        <f>E5*'Page 3-Assumptions'!$B$46</f>
        <v>8000</v>
      </c>
      <c r="C44" s="116"/>
      <c r="D44" s="116"/>
      <c r="E44" s="118">
        <f t="shared" si="2"/>
        <v>8000</v>
      </c>
      <c r="F44" s="4"/>
      <c r="G44" s="4"/>
      <c r="H44" s="4"/>
      <c r="I44" s="4"/>
      <c r="J44" s="4"/>
      <c r="K44" s="4"/>
      <c r="L44" s="4"/>
      <c r="M44" s="4"/>
      <c r="N44" s="4"/>
      <c r="O44" s="4"/>
      <c r="P44" s="4"/>
      <c r="Q44" s="4"/>
      <c r="R44" s="4"/>
      <c r="S44" s="4"/>
      <c r="T44" s="4"/>
      <c r="U44" s="4"/>
      <c r="V44" s="4"/>
      <c r="W44" s="4"/>
      <c r="X44" s="4"/>
      <c r="Y44" s="4"/>
    </row>
    <row r="45" spans="1:25" ht="12.75" customHeight="1">
      <c r="A45" s="358" t="s">
        <v>187</v>
      </c>
      <c r="B45" s="120">
        <v>2000</v>
      </c>
      <c r="C45" s="116"/>
      <c r="D45" s="116"/>
      <c r="E45" s="118">
        <f t="shared" si="2"/>
        <v>2000</v>
      </c>
      <c r="F45" s="4"/>
      <c r="G45" s="4"/>
      <c r="H45" s="4"/>
      <c r="I45" s="4"/>
      <c r="J45" s="4"/>
      <c r="K45" s="4"/>
      <c r="L45" s="4"/>
      <c r="M45" s="4"/>
      <c r="N45" s="4"/>
      <c r="O45" s="4"/>
      <c r="P45" s="4"/>
      <c r="Q45" s="4"/>
      <c r="R45" s="4"/>
      <c r="S45" s="4"/>
      <c r="T45" s="4"/>
      <c r="U45" s="4"/>
      <c r="V45" s="4"/>
      <c r="W45" s="4"/>
      <c r="X45" s="4"/>
      <c r="Y45" s="4"/>
    </row>
    <row r="46" spans="1:25" ht="12.75" customHeight="1">
      <c r="A46" s="358" t="s">
        <v>188</v>
      </c>
      <c r="B46" s="116">
        <v>20200</v>
      </c>
      <c r="C46" s="116"/>
      <c r="D46" s="116"/>
      <c r="E46" s="118">
        <f t="shared" si="2"/>
        <v>20200</v>
      </c>
      <c r="F46" s="4"/>
      <c r="G46" s="4"/>
      <c r="H46" s="4"/>
      <c r="I46" s="4"/>
      <c r="J46" s="4"/>
      <c r="K46" s="4"/>
      <c r="L46" s="4"/>
      <c r="M46" s="4"/>
      <c r="N46" s="4"/>
      <c r="O46" s="4"/>
      <c r="P46" s="4"/>
      <c r="Q46" s="4"/>
      <c r="R46" s="4"/>
      <c r="S46" s="4"/>
      <c r="T46" s="4"/>
      <c r="U46" s="4"/>
      <c r="V46" s="4"/>
      <c r="W46" s="4"/>
      <c r="X46" s="4"/>
      <c r="Y46" s="4"/>
    </row>
    <row r="47" spans="1:25" ht="12.75" customHeight="1">
      <c r="A47" s="358" t="s">
        <v>189</v>
      </c>
      <c r="B47" s="120">
        <v>0</v>
      </c>
      <c r="C47" s="116">
        <f>SUM(C16:C24)</f>
        <v>47359.472000000002</v>
      </c>
      <c r="D47" s="116"/>
      <c r="E47" s="118">
        <f t="shared" si="2"/>
        <v>47359.472000000002</v>
      </c>
      <c r="F47" s="4"/>
      <c r="G47" s="4"/>
      <c r="H47" s="4"/>
      <c r="I47" s="4"/>
      <c r="J47" s="4"/>
      <c r="K47" s="4"/>
      <c r="L47" s="4"/>
      <c r="M47" s="4"/>
      <c r="N47" s="4"/>
      <c r="O47" s="4"/>
      <c r="P47" s="4"/>
      <c r="Q47" s="4"/>
      <c r="R47" s="4"/>
      <c r="S47" s="4"/>
      <c r="T47" s="4"/>
      <c r="U47" s="4"/>
      <c r="V47" s="4"/>
      <c r="W47" s="4"/>
      <c r="X47" s="4"/>
      <c r="Y47" s="4"/>
    </row>
    <row r="48" spans="1:25" ht="12.75" customHeight="1">
      <c r="A48" s="358" t="s">
        <v>190</v>
      </c>
      <c r="B48" s="120">
        <v>2000</v>
      </c>
      <c r="C48" s="116"/>
      <c r="D48" s="116"/>
      <c r="E48" s="118">
        <f t="shared" si="2"/>
        <v>2000</v>
      </c>
      <c r="F48" s="4"/>
      <c r="G48" s="4"/>
      <c r="H48" s="4"/>
      <c r="I48" s="4"/>
      <c r="J48" s="4"/>
      <c r="K48" s="4"/>
      <c r="L48" s="4"/>
      <c r="M48" s="4"/>
      <c r="N48" s="4"/>
      <c r="O48" s="4"/>
      <c r="P48" s="4"/>
      <c r="Q48" s="4"/>
      <c r="R48" s="4"/>
      <c r="S48" s="4"/>
      <c r="T48" s="4"/>
      <c r="U48" s="4"/>
      <c r="V48" s="4"/>
      <c r="W48" s="4"/>
      <c r="X48" s="4"/>
      <c r="Y48" s="4"/>
    </row>
    <row r="49" spans="1:25" ht="12.75" customHeight="1">
      <c r="A49" s="352" t="s">
        <v>191</v>
      </c>
      <c r="B49" s="120">
        <f>330*12*4*1.02^4</f>
        <v>17145.7254144</v>
      </c>
      <c r="C49" s="117"/>
      <c r="D49" s="116"/>
      <c r="E49" s="118">
        <f t="shared" si="2"/>
        <v>17145.7254144</v>
      </c>
      <c r="F49" s="4"/>
      <c r="G49" s="4"/>
      <c r="H49" s="4"/>
      <c r="I49" s="4"/>
      <c r="J49" s="4"/>
      <c r="K49" s="4"/>
      <c r="L49" s="4"/>
      <c r="M49" s="4"/>
      <c r="N49" s="4"/>
      <c r="O49" s="4"/>
      <c r="P49" s="4"/>
      <c r="Q49" s="4"/>
      <c r="R49" s="4"/>
      <c r="S49" s="4"/>
      <c r="T49" s="4"/>
      <c r="U49" s="4"/>
      <c r="V49" s="4"/>
      <c r="W49" s="4"/>
      <c r="X49" s="4"/>
      <c r="Y49" s="4"/>
    </row>
    <row r="50" spans="1:25" ht="12.75" customHeight="1">
      <c r="A50" s="358" t="s">
        <v>192</v>
      </c>
      <c r="B50" s="120">
        <f>'Page 7-Year 3'!B50*1.05</f>
        <v>0</v>
      </c>
      <c r="C50" s="116"/>
      <c r="D50" s="116"/>
      <c r="E50" s="118">
        <f t="shared" si="2"/>
        <v>0</v>
      </c>
      <c r="F50" s="4"/>
      <c r="G50" s="4"/>
      <c r="H50" s="4"/>
      <c r="I50" s="4"/>
      <c r="J50" s="4"/>
      <c r="K50" s="4"/>
      <c r="L50" s="4"/>
      <c r="M50" s="4"/>
      <c r="N50" s="4"/>
      <c r="O50" s="4"/>
      <c r="P50" s="4"/>
      <c r="Q50" s="4"/>
      <c r="R50" s="4"/>
      <c r="S50" s="4"/>
      <c r="T50" s="4"/>
      <c r="U50" s="4"/>
      <c r="V50" s="4"/>
      <c r="W50" s="4"/>
      <c r="X50" s="4"/>
      <c r="Y50" s="4"/>
    </row>
    <row r="51" spans="1:25" ht="12.75" customHeight="1">
      <c r="A51" s="358" t="s">
        <v>193</v>
      </c>
      <c r="B51" s="120">
        <f>0.05*B52</f>
        <v>4980</v>
      </c>
      <c r="C51" s="116"/>
      <c r="D51" s="116"/>
      <c r="E51" s="118">
        <f t="shared" si="2"/>
        <v>4980</v>
      </c>
      <c r="F51" s="4"/>
      <c r="G51" s="4"/>
      <c r="H51" s="4"/>
      <c r="I51" s="4"/>
      <c r="J51" s="4"/>
      <c r="K51" s="4"/>
      <c r="L51" s="4"/>
      <c r="M51" s="4"/>
      <c r="N51" s="4"/>
      <c r="O51" s="4"/>
      <c r="P51" s="4"/>
      <c r="Q51" s="4"/>
      <c r="R51" s="4"/>
      <c r="S51" s="4"/>
      <c r="T51" s="4"/>
      <c r="U51" s="4"/>
      <c r="V51" s="4"/>
      <c r="W51" s="4"/>
      <c r="X51" s="4"/>
      <c r="Y51" s="4"/>
    </row>
    <row r="52" spans="1:25" ht="27" customHeight="1">
      <c r="A52" s="358" t="s">
        <v>194</v>
      </c>
      <c r="B52" s="125">
        <v>99600</v>
      </c>
      <c r="C52" s="116"/>
      <c r="D52" s="116"/>
      <c r="E52" s="118">
        <f t="shared" si="2"/>
        <v>99600</v>
      </c>
      <c r="F52" s="4"/>
      <c r="G52" s="4"/>
      <c r="H52" s="4"/>
      <c r="I52" s="4"/>
      <c r="J52" s="4"/>
      <c r="K52" s="4"/>
      <c r="L52" s="4"/>
      <c r="M52" s="4"/>
      <c r="N52" s="4"/>
      <c r="O52" s="4"/>
      <c r="P52" s="4"/>
      <c r="Q52" s="4"/>
      <c r="R52" s="4"/>
      <c r="S52" s="4"/>
      <c r="T52" s="4"/>
      <c r="U52" s="4"/>
      <c r="V52" s="4"/>
      <c r="W52" s="4"/>
      <c r="X52" s="4"/>
      <c r="Y52" s="4"/>
    </row>
    <row r="53" spans="1:25" ht="12.75" customHeight="1">
      <c r="A53" s="358" t="s">
        <v>195</v>
      </c>
      <c r="B53" s="125">
        <v>4000</v>
      </c>
      <c r="C53" s="116"/>
      <c r="D53" s="116"/>
      <c r="E53" s="118">
        <f t="shared" si="2"/>
        <v>4000</v>
      </c>
      <c r="F53" s="4"/>
      <c r="G53" s="4"/>
      <c r="H53" s="4"/>
      <c r="I53" s="4"/>
      <c r="J53" s="4"/>
      <c r="K53" s="4"/>
      <c r="L53" s="4"/>
      <c r="M53" s="4"/>
      <c r="N53" s="4"/>
      <c r="O53" s="4"/>
      <c r="P53" s="4"/>
      <c r="Q53" s="4"/>
      <c r="R53" s="4"/>
      <c r="S53" s="4"/>
      <c r="T53" s="4"/>
      <c r="U53" s="4"/>
      <c r="V53" s="4"/>
      <c r="W53" s="4"/>
      <c r="X53" s="4"/>
      <c r="Y53" s="4"/>
    </row>
    <row r="54" spans="1:25" ht="12.75" customHeight="1">
      <c r="A54" s="352" t="s">
        <v>196</v>
      </c>
      <c r="B54" s="125">
        <f>'Page 3-Assumptions'!F35</f>
        <v>22168.210636799999</v>
      </c>
      <c r="C54" s="116"/>
      <c r="D54" s="116"/>
      <c r="E54" s="118">
        <f t="shared" si="2"/>
        <v>22168.210636799999</v>
      </c>
      <c r="F54" s="4"/>
      <c r="G54" s="4"/>
      <c r="H54" s="4"/>
      <c r="I54" s="4"/>
      <c r="J54" s="4"/>
      <c r="K54" s="4"/>
      <c r="L54" s="4"/>
      <c r="M54" s="4"/>
      <c r="N54" s="4"/>
      <c r="O54" s="4"/>
      <c r="P54" s="4"/>
      <c r="Q54" s="4"/>
      <c r="R54" s="4"/>
      <c r="S54" s="4"/>
      <c r="T54" s="4"/>
      <c r="U54" s="4"/>
      <c r="V54" s="4"/>
      <c r="W54" s="4"/>
      <c r="X54" s="4"/>
      <c r="Y54" s="4"/>
    </row>
    <row r="55" spans="1:25" ht="12.75" customHeight="1">
      <c r="A55" s="358" t="s">
        <v>197</v>
      </c>
      <c r="B55" s="125">
        <f>'Page 3-Assumptions'!$F$34*(E33+E34)</f>
        <v>3467.4</v>
      </c>
      <c r="C55" s="116"/>
      <c r="D55" s="116"/>
      <c r="E55" s="118">
        <f t="shared" si="2"/>
        <v>3467.4</v>
      </c>
      <c r="F55" s="4"/>
      <c r="G55" s="4"/>
      <c r="H55" s="4"/>
      <c r="I55" s="4"/>
      <c r="J55" s="4"/>
      <c r="K55" s="4"/>
      <c r="L55" s="4"/>
      <c r="M55" s="4"/>
      <c r="N55" s="4"/>
      <c r="O55" s="4"/>
      <c r="P55" s="4"/>
      <c r="Q55" s="4"/>
      <c r="R55" s="4"/>
      <c r="S55" s="4"/>
      <c r="T55" s="4"/>
      <c r="U55" s="4"/>
      <c r="V55" s="4"/>
      <c r="W55" s="4"/>
      <c r="X55" s="4"/>
      <c r="Y55" s="4"/>
    </row>
    <row r="56" spans="1:25" ht="12.75" customHeight="1">
      <c r="A56" s="358" t="s">
        <v>198</v>
      </c>
      <c r="B56" s="125">
        <f>((E33+E34)/100)*2</f>
        <v>23116</v>
      </c>
      <c r="C56" s="116"/>
      <c r="D56" s="116"/>
      <c r="E56" s="118">
        <f t="shared" si="2"/>
        <v>23116</v>
      </c>
      <c r="F56" s="4"/>
      <c r="G56" s="4"/>
      <c r="H56" s="4"/>
      <c r="I56" s="4"/>
      <c r="J56" s="4"/>
      <c r="K56" s="4"/>
      <c r="L56" s="4"/>
      <c r="M56" s="4"/>
      <c r="N56" s="4"/>
      <c r="O56" s="4"/>
      <c r="P56" s="4"/>
      <c r="Q56" s="4"/>
      <c r="R56" s="4"/>
      <c r="S56" s="4"/>
      <c r="T56" s="4"/>
      <c r="U56" s="4"/>
      <c r="V56" s="4"/>
      <c r="W56" s="4"/>
      <c r="X56" s="4"/>
      <c r="Y56" s="4"/>
    </row>
    <row r="57" spans="1:25" ht="12.75" customHeight="1">
      <c r="A57" s="358" t="s">
        <v>199</v>
      </c>
      <c r="B57" s="120">
        <f>'Page 7-Year 3'!B57*1.05</f>
        <v>0</v>
      </c>
      <c r="C57" s="116"/>
      <c r="D57" s="116"/>
      <c r="E57" s="118">
        <f t="shared" si="2"/>
        <v>0</v>
      </c>
      <c r="F57" s="4"/>
      <c r="G57" s="4"/>
      <c r="H57" s="4"/>
      <c r="I57" s="4"/>
      <c r="J57" s="4"/>
      <c r="K57" s="4"/>
      <c r="L57" s="4"/>
      <c r="M57" s="4"/>
      <c r="N57" s="4"/>
      <c r="O57" s="4"/>
      <c r="P57" s="4"/>
      <c r="Q57" s="4"/>
      <c r="R57" s="4"/>
      <c r="S57" s="4"/>
      <c r="T57" s="4"/>
      <c r="U57" s="4"/>
      <c r="V57" s="4"/>
      <c r="W57" s="4"/>
      <c r="X57" s="4"/>
      <c r="Y57" s="4"/>
    </row>
    <row r="58" spans="1:25" ht="12.75" customHeight="1">
      <c r="A58" s="352" t="s">
        <v>200</v>
      </c>
      <c r="B58" s="125">
        <v>60000</v>
      </c>
      <c r="C58" s="116"/>
      <c r="D58" s="116"/>
      <c r="E58" s="118">
        <f t="shared" si="2"/>
        <v>60000</v>
      </c>
      <c r="F58" s="4"/>
      <c r="G58" s="4"/>
      <c r="H58" s="4"/>
      <c r="I58" s="4"/>
      <c r="J58" s="4"/>
      <c r="K58" s="4"/>
      <c r="L58" s="4"/>
      <c r="M58" s="4"/>
      <c r="N58" s="4"/>
      <c r="O58" s="4"/>
      <c r="P58" s="4"/>
      <c r="Q58" s="4"/>
      <c r="R58" s="4"/>
      <c r="S58" s="4"/>
      <c r="T58" s="4"/>
      <c r="U58" s="4"/>
      <c r="V58" s="4"/>
      <c r="W58" s="4"/>
      <c r="X58" s="4"/>
      <c r="Y58" s="4"/>
    </row>
    <row r="59" spans="1:25" ht="12.75" customHeight="1">
      <c r="A59" s="358" t="s">
        <v>201</v>
      </c>
      <c r="B59" s="125">
        <v>2000</v>
      </c>
      <c r="C59" s="116"/>
      <c r="D59" s="116"/>
      <c r="E59" s="118">
        <f t="shared" si="2"/>
        <v>2000</v>
      </c>
      <c r="F59" s="4"/>
      <c r="G59" s="4"/>
      <c r="H59" s="4"/>
      <c r="I59" s="4"/>
      <c r="J59" s="4"/>
      <c r="K59" s="4"/>
      <c r="L59" s="4"/>
      <c r="M59" s="4"/>
      <c r="N59" s="4"/>
      <c r="O59" s="4"/>
      <c r="P59" s="4"/>
      <c r="Q59" s="4"/>
      <c r="R59" s="4"/>
      <c r="S59" s="4"/>
      <c r="T59" s="4"/>
      <c r="U59" s="4"/>
      <c r="V59" s="4"/>
      <c r="W59" s="4"/>
      <c r="X59" s="4"/>
      <c r="Y59" s="4"/>
    </row>
    <row r="60" spans="1:25" ht="12.75" customHeight="1">
      <c r="A60" s="358" t="s">
        <v>202</v>
      </c>
      <c r="B60" s="125">
        <v>0</v>
      </c>
      <c r="C60" s="116"/>
      <c r="D60" s="341"/>
      <c r="E60" s="118">
        <f t="shared" si="2"/>
        <v>0</v>
      </c>
      <c r="F60" s="4"/>
      <c r="G60" s="4"/>
      <c r="H60" s="4"/>
      <c r="I60" s="4"/>
      <c r="J60" s="4"/>
      <c r="K60" s="4"/>
      <c r="L60" s="4"/>
      <c r="M60" s="4"/>
      <c r="N60" s="4"/>
      <c r="O60" s="4"/>
      <c r="P60" s="4"/>
      <c r="Q60" s="4"/>
      <c r="R60" s="4"/>
      <c r="S60" s="4"/>
      <c r="T60" s="4"/>
      <c r="U60" s="4"/>
      <c r="V60" s="4"/>
      <c r="W60" s="4"/>
      <c r="X60" s="4"/>
      <c r="Y60" s="4"/>
    </row>
    <row r="61" spans="1:25" ht="12.75" customHeight="1">
      <c r="A61" s="354" t="s">
        <v>203</v>
      </c>
      <c r="B61" s="125">
        <f>B28*'Page 3-Assumptions'!F29</f>
        <v>35921.374069106234</v>
      </c>
      <c r="C61" s="116"/>
      <c r="D61" s="116"/>
      <c r="E61" s="118">
        <f t="shared" si="2"/>
        <v>35921.374069106234</v>
      </c>
      <c r="F61" s="4"/>
      <c r="G61" s="4"/>
      <c r="H61" s="4"/>
      <c r="I61" s="4"/>
      <c r="J61" s="4"/>
      <c r="K61" s="4"/>
      <c r="L61" s="4"/>
      <c r="M61" s="4"/>
      <c r="N61" s="4"/>
      <c r="O61" s="4"/>
      <c r="P61" s="4"/>
      <c r="Q61" s="4"/>
      <c r="R61" s="4"/>
      <c r="S61" s="4"/>
      <c r="T61" s="4"/>
      <c r="U61" s="4"/>
      <c r="V61" s="4"/>
      <c r="W61" s="4"/>
      <c r="X61" s="4"/>
      <c r="Y61" s="4"/>
    </row>
    <row r="62" spans="1:25" ht="12.75" customHeight="1">
      <c r="A62" s="352" t="s">
        <v>204</v>
      </c>
      <c r="B62" s="125">
        <f>B28*'Page 3-Assumptions'!F30</f>
        <v>11973.791356368745</v>
      </c>
      <c r="C62" s="116"/>
      <c r="D62" s="116"/>
      <c r="E62" s="118">
        <f t="shared" si="2"/>
        <v>11973.791356368745</v>
      </c>
      <c r="F62" s="4"/>
      <c r="G62" s="4"/>
      <c r="H62" s="4"/>
      <c r="I62" s="4"/>
      <c r="J62" s="4"/>
      <c r="K62" s="4"/>
      <c r="L62" s="4"/>
      <c r="M62" s="4"/>
      <c r="N62" s="4"/>
      <c r="O62" s="4"/>
      <c r="P62" s="4"/>
      <c r="Q62" s="4"/>
      <c r="R62" s="4"/>
      <c r="S62" s="4"/>
      <c r="T62" s="4"/>
      <c r="U62" s="4"/>
      <c r="V62" s="4"/>
      <c r="W62" s="4"/>
      <c r="X62" s="4"/>
      <c r="Y62" s="4"/>
    </row>
    <row r="63" spans="1:25" ht="12.75" customHeight="1">
      <c r="A63" s="358" t="s">
        <v>205</v>
      </c>
      <c r="B63" s="125">
        <v>29000</v>
      </c>
      <c r="C63" s="116"/>
      <c r="D63" s="116"/>
      <c r="E63" s="118">
        <f t="shared" si="2"/>
        <v>29000</v>
      </c>
      <c r="F63" s="4"/>
      <c r="G63" s="4"/>
      <c r="H63" s="4"/>
      <c r="I63" s="4"/>
      <c r="J63" s="4"/>
      <c r="K63" s="4"/>
      <c r="L63" s="4"/>
      <c r="M63" s="4"/>
      <c r="N63" s="4"/>
      <c r="O63" s="4"/>
      <c r="P63" s="4"/>
      <c r="Q63" s="4"/>
      <c r="R63" s="4"/>
      <c r="S63" s="4"/>
      <c r="T63" s="4"/>
      <c r="U63" s="4"/>
      <c r="V63" s="4"/>
      <c r="W63" s="4"/>
      <c r="X63" s="4"/>
      <c r="Y63" s="4"/>
    </row>
    <row r="64" spans="1:25" ht="12.75" customHeight="1">
      <c r="A64" s="358" t="s">
        <v>206</v>
      </c>
      <c r="B64" s="125">
        <v>3500</v>
      </c>
      <c r="C64" s="116"/>
      <c r="D64" s="116"/>
      <c r="E64" s="118">
        <f t="shared" si="2"/>
        <v>3500</v>
      </c>
      <c r="F64" s="4"/>
      <c r="G64" s="4"/>
      <c r="H64" s="4"/>
      <c r="I64" s="4"/>
      <c r="J64" s="4"/>
      <c r="K64" s="4"/>
      <c r="L64" s="4"/>
      <c r="M64" s="4"/>
      <c r="N64" s="4"/>
      <c r="O64" s="4"/>
      <c r="P64" s="4"/>
      <c r="Q64" s="4"/>
      <c r="R64" s="4"/>
      <c r="S64" s="4"/>
      <c r="T64" s="4"/>
      <c r="U64" s="4"/>
      <c r="V64" s="4"/>
      <c r="W64" s="4"/>
      <c r="X64" s="4"/>
      <c r="Y64" s="4"/>
    </row>
    <row r="65" spans="1:25" ht="12.75" customHeight="1">
      <c r="A65" s="358" t="s">
        <v>207</v>
      </c>
      <c r="B65" s="125">
        <f>2000*1.02^4</f>
        <v>2164.8643200000001</v>
      </c>
      <c r="C65" s="116"/>
      <c r="D65" s="116"/>
      <c r="E65" s="118">
        <f t="shared" si="2"/>
        <v>2164.8643200000001</v>
      </c>
      <c r="F65" s="4"/>
      <c r="G65" s="4"/>
      <c r="H65" s="4"/>
      <c r="I65" s="4"/>
      <c r="J65" s="4"/>
      <c r="K65" s="4"/>
      <c r="L65" s="4"/>
      <c r="M65" s="4"/>
      <c r="N65" s="4"/>
      <c r="O65" s="4"/>
      <c r="P65" s="4"/>
      <c r="Q65" s="4"/>
      <c r="R65" s="4"/>
      <c r="S65" s="4"/>
      <c r="T65" s="4"/>
      <c r="U65" s="4"/>
      <c r="V65" s="4"/>
      <c r="W65" s="4"/>
      <c r="X65" s="4"/>
      <c r="Y65" s="4"/>
    </row>
    <row r="66" spans="1:25" ht="12.75" customHeight="1">
      <c r="A66" s="358" t="s">
        <v>237</v>
      </c>
      <c r="B66" s="128">
        <v>5000</v>
      </c>
      <c r="C66" s="116"/>
      <c r="D66" s="341"/>
      <c r="E66" s="118">
        <f t="shared" si="2"/>
        <v>5000</v>
      </c>
      <c r="F66" s="4"/>
      <c r="G66" s="4"/>
      <c r="H66" s="4"/>
      <c r="I66" s="4"/>
      <c r="J66" s="4"/>
      <c r="K66" s="4"/>
      <c r="L66" s="4"/>
      <c r="M66" s="4"/>
      <c r="N66" s="4"/>
      <c r="O66" s="4"/>
      <c r="P66" s="4"/>
      <c r="Q66" s="4"/>
      <c r="R66" s="4"/>
      <c r="S66" s="4"/>
      <c r="T66" s="4"/>
      <c r="U66" s="4"/>
      <c r="V66" s="4"/>
      <c r="W66" s="4"/>
      <c r="X66" s="4"/>
      <c r="Y66" s="4"/>
    </row>
    <row r="67" spans="1:25" ht="12.75" customHeight="1">
      <c r="A67" s="358" t="s">
        <v>209</v>
      </c>
      <c r="B67" s="128">
        <f>'Page 7-Year 3'!B67*1.043</f>
        <v>0</v>
      </c>
      <c r="C67" s="116"/>
      <c r="D67" s="116"/>
      <c r="E67" s="118">
        <f t="shared" si="2"/>
        <v>0</v>
      </c>
      <c r="F67" s="4"/>
      <c r="G67" s="4"/>
      <c r="H67" s="4"/>
      <c r="I67" s="4"/>
      <c r="J67" s="4"/>
      <c r="K67" s="4"/>
      <c r="L67" s="4"/>
      <c r="M67" s="4"/>
      <c r="N67" s="4"/>
      <c r="O67" s="4"/>
      <c r="P67" s="4"/>
      <c r="Q67" s="4"/>
      <c r="R67" s="4"/>
      <c r="S67" s="4"/>
      <c r="T67" s="4"/>
      <c r="U67" s="4"/>
      <c r="V67" s="4"/>
      <c r="W67" s="4"/>
      <c r="X67" s="4"/>
      <c r="Y67" s="4"/>
    </row>
    <row r="68" spans="1:25" ht="12.75" customHeight="1">
      <c r="A68" s="352" t="s">
        <v>210</v>
      </c>
      <c r="B68" s="128">
        <v>50000</v>
      </c>
      <c r="C68" s="116"/>
      <c r="D68" s="116"/>
      <c r="E68" s="118">
        <f t="shared" si="2"/>
        <v>50000</v>
      </c>
      <c r="F68" s="4"/>
      <c r="G68" s="4"/>
      <c r="H68" s="4"/>
      <c r="I68" s="4"/>
      <c r="J68" s="4"/>
      <c r="K68" s="4"/>
      <c r="L68" s="4"/>
      <c r="M68" s="4"/>
      <c r="N68" s="4"/>
      <c r="O68" s="4"/>
      <c r="P68" s="4"/>
      <c r="Q68" s="4"/>
      <c r="R68" s="4"/>
      <c r="S68" s="4"/>
      <c r="T68" s="4"/>
      <c r="U68" s="4"/>
      <c r="V68" s="4"/>
      <c r="W68" s="4"/>
      <c r="X68" s="4"/>
      <c r="Y68" s="4"/>
    </row>
    <row r="69" spans="1:25" ht="12.75" customHeight="1">
      <c r="A69" s="358" t="s">
        <v>211</v>
      </c>
      <c r="B69" s="128">
        <v>15000</v>
      </c>
      <c r="C69" s="116"/>
      <c r="D69" s="116"/>
      <c r="E69" s="118">
        <f t="shared" si="2"/>
        <v>15000</v>
      </c>
      <c r="F69" s="4"/>
      <c r="G69" s="4"/>
      <c r="H69" s="4"/>
      <c r="I69" s="4"/>
      <c r="J69" s="4"/>
      <c r="K69" s="4"/>
      <c r="L69" s="4"/>
      <c r="M69" s="4"/>
      <c r="N69" s="4"/>
      <c r="O69" s="4"/>
      <c r="P69" s="4"/>
      <c r="Q69" s="4"/>
      <c r="R69" s="4"/>
      <c r="S69" s="4"/>
      <c r="T69" s="4"/>
      <c r="U69" s="4"/>
      <c r="V69" s="4"/>
      <c r="W69" s="4"/>
      <c r="X69" s="4"/>
      <c r="Y69" s="4"/>
    </row>
    <row r="70" spans="1:25" ht="12.75" customHeight="1">
      <c r="A70" s="359" t="s">
        <v>212</v>
      </c>
      <c r="B70" s="117">
        <f>'Page 7-Year 3'!B70*1.05</f>
        <v>0</v>
      </c>
      <c r="C70" s="116"/>
      <c r="D70" s="116"/>
      <c r="E70" s="118">
        <f t="shared" si="2"/>
        <v>0</v>
      </c>
      <c r="F70" s="4"/>
      <c r="G70" s="4"/>
      <c r="H70" s="4"/>
      <c r="I70" s="4"/>
      <c r="J70" s="4"/>
      <c r="K70" s="4"/>
      <c r="L70" s="4"/>
      <c r="M70" s="4"/>
      <c r="N70" s="4"/>
      <c r="O70" s="4"/>
      <c r="P70" s="4"/>
      <c r="Q70" s="4"/>
      <c r="R70" s="4"/>
      <c r="S70" s="4"/>
      <c r="T70" s="4"/>
      <c r="U70" s="4"/>
      <c r="V70" s="4"/>
      <c r="W70" s="4"/>
      <c r="X70" s="4"/>
      <c r="Y70" s="4"/>
    </row>
    <row r="71" spans="1:25" ht="12.75" customHeight="1">
      <c r="A71" s="359" t="s">
        <v>213</v>
      </c>
      <c r="B71" s="119">
        <v>2200</v>
      </c>
      <c r="C71" s="116"/>
      <c r="D71" s="116"/>
      <c r="E71" s="118">
        <f t="shared" si="2"/>
        <v>2200</v>
      </c>
      <c r="F71" s="4"/>
      <c r="G71" s="4"/>
      <c r="H71" s="4"/>
      <c r="I71" s="4"/>
      <c r="J71" s="4"/>
      <c r="K71" s="4"/>
      <c r="L71" s="4"/>
      <c r="M71" s="4"/>
      <c r="N71" s="4"/>
      <c r="O71" s="4"/>
      <c r="P71" s="4"/>
      <c r="Q71" s="4"/>
      <c r="R71" s="4"/>
      <c r="S71" s="4"/>
      <c r="T71" s="4"/>
      <c r="U71" s="4"/>
      <c r="V71" s="4"/>
      <c r="W71" s="4"/>
      <c r="X71" s="4"/>
      <c r="Y71" s="4"/>
    </row>
    <row r="72" spans="1:25" ht="12.75" customHeight="1">
      <c r="A72" s="359" t="s">
        <v>214</v>
      </c>
      <c r="B72" s="116">
        <v>5000</v>
      </c>
      <c r="C72" s="116"/>
      <c r="D72" s="116"/>
      <c r="E72" s="118">
        <f t="shared" si="2"/>
        <v>5000</v>
      </c>
      <c r="F72" s="4"/>
      <c r="G72" s="4"/>
      <c r="H72" s="4"/>
      <c r="I72" s="4"/>
      <c r="J72" s="4"/>
      <c r="K72" s="4"/>
      <c r="L72" s="4"/>
      <c r="M72" s="4"/>
      <c r="N72" s="4"/>
      <c r="O72" s="4"/>
      <c r="P72" s="4"/>
      <c r="Q72" s="4"/>
      <c r="R72" s="4"/>
      <c r="S72" s="4"/>
      <c r="T72" s="4"/>
      <c r="U72" s="4"/>
      <c r="V72" s="4"/>
      <c r="W72" s="4"/>
      <c r="X72" s="4"/>
      <c r="Y72" s="4"/>
    </row>
    <row r="73" spans="1:25" ht="12.75" customHeight="1">
      <c r="A73" s="359" t="s">
        <v>215</v>
      </c>
      <c r="B73" s="119">
        <f>('Page 3-Assumptions'!$B$56*'Page 1-Enrollment Plan'!E21)</f>
        <v>0</v>
      </c>
      <c r="C73" s="116"/>
      <c r="D73" s="116"/>
      <c r="E73" s="118">
        <f t="shared" si="2"/>
        <v>0</v>
      </c>
      <c r="F73" s="4"/>
      <c r="G73" s="4"/>
      <c r="H73" s="4"/>
      <c r="I73" s="4"/>
      <c r="J73" s="4"/>
      <c r="K73" s="4"/>
      <c r="L73" s="4"/>
      <c r="M73" s="4"/>
      <c r="N73" s="4"/>
      <c r="O73" s="4"/>
      <c r="P73" s="4"/>
      <c r="Q73" s="4"/>
      <c r="R73" s="4"/>
      <c r="S73" s="4"/>
      <c r="T73" s="4"/>
      <c r="U73" s="4"/>
      <c r="V73" s="4"/>
      <c r="W73" s="4"/>
      <c r="X73" s="4"/>
      <c r="Y73" s="4"/>
    </row>
    <row r="74" spans="1:25" ht="12.75" customHeight="1">
      <c r="A74" s="141" t="s">
        <v>234</v>
      </c>
      <c r="B74" s="119">
        <f>0.04*B30</f>
        <v>91977.436852977058</v>
      </c>
      <c r="C74" s="333"/>
      <c r="D74" s="333"/>
      <c r="E74" s="118">
        <f t="shared" si="2"/>
        <v>91977.436852977058</v>
      </c>
      <c r="F74" s="4"/>
      <c r="G74" s="4"/>
      <c r="H74" s="4"/>
      <c r="I74" s="4"/>
      <c r="J74" s="4"/>
      <c r="K74" s="4"/>
      <c r="L74" s="4"/>
      <c r="M74" s="4"/>
      <c r="N74" s="4"/>
      <c r="O74" s="4"/>
      <c r="P74" s="4"/>
      <c r="Q74" s="4"/>
      <c r="R74" s="4"/>
      <c r="S74" s="4"/>
      <c r="T74" s="4"/>
      <c r="U74" s="4"/>
      <c r="V74" s="4"/>
      <c r="W74" s="4"/>
      <c r="X74" s="4"/>
      <c r="Y74" s="4"/>
    </row>
    <row r="75" spans="1:25" ht="12.75" customHeight="1">
      <c r="A75" s="141" t="s">
        <v>235</v>
      </c>
      <c r="B75" s="119">
        <v>6600</v>
      </c>
      <c r="C75" s="116"/>
      <c r="D75" s="116"/>
      <c r="E75" s="118">
        <f t="shared" si="2"/>
        <v>6600</v>
      </c>
      <c r="F75" s="4"/>
      <c r="G75" s="4"/>
      <c r="H75" s="4"/>
      <c r="I75" s="4"/>
      <c r="J75" s="4"/>
      <c r="K75" s="4"/>
      <c r="L75" s="4"/>
      <c r="M75" s="4"/>
      <c r="N75" s="4"/>
      <c r="O75" s="4"/>
      <c r="P75" s="4"/>
      <c r="Q75" s="4"/>
      <c r="R75" s="4"/>
      <c r="S75" s="4"/>
      <c r="T75" s="4"/>
      <c r="U75" s="4"/>
      <c r="V75" s="4"/>
      <c r="W75" s="4"/>
      <c r="X75" s="4"/>
      <c r="Y75" s="4"/>
    </row>
    <row r="76" spans="1:25" ht="12.75" customHeight="1">
      <c r="A76" s="141" t="s">
        <v>236</v>
      </c>
      <c r="B76" s="164">
        <v>49500</v>
      </c>
      <c r="C76" s="333"/>
      <c r="D76" s="333"/>
      <c r="E76" s="118">
        <f t="shared" si="2"/>
        <v>49500</v>
      </c>
      <c r="F76" s="4"/>
      <c r="G76" s="4"/>
      <c r="H76" s="4"/>
      <c r="I76" s="4"/>
      <c r="J76" s="4"/>
      <c r="K76" s="4"/>
      <c r="L76" s="4"/>
      <c r="M76" s="4"/>
      <c r="N76" s="4"/>
      <c r="O76" s="4"/>
      <c r="P76" s="4"/>
      <c r="Q76" s="4"/>
      <c r="R76" s="4"/>
      <c r="S76" s="4"/>
      <c r="T76" s="4"/>
      <c r="U76" s="4"/>
      <c r="V76" s="4"/>
      <c r="W76" s="4"/>
      <c r="X76" s="4"/>
      <c r="Y76" s="4"/>
    </row>
    <row r="77" spans="1:25" ht="12.75" customHeight="1">
      <c r="A77" s="155" t="s">
        <v>217</v>
      </c>
      <c r="B77" s="123">
        <f>SUM(B33:B76)</f>
        <v>2254133.2808896522</v>
      </c>
      <c r="C77" s="123">
        <f t="shared" ref="C77:D77" si="3">SUM(C33:C74)</f>
        <v>47359.472000000002</v>
      </c>
      <c r="D77" s="123">
        <f t="shared" si="3"/>
        <v>0</v>
      </c>
      <c r="E77" s="123">
        <f>SUM(E33:E76)</f>
        <v>2301492.7528896523</v>
      </c>
      <c r="F77" s="4"/>
      <c r="G77" s="4"/>
      <c r="H77" s="4"/>
      <c r="I77" s="4"/>
      <c r="J77" s="4"/>
      <c r="K77" s="4"/>
      <c r="L77" s="4"/>
      <c r="M77" s="4"/>
      <c r="N77" s="4"/>
      <c r="O77" s="4"/>
      <c r="P77" s="4"/>
      <c r="Q77" s="4"/>
      <c r="R77" s="4"/>
      <c r="S77" s="4"/>
      <c r="T77" s="4"/>
      <c r="U77" s="4"/>
      <c r="V77" s="4"/>
      <c r="W77" s="4"/>
      <c r="X77" s="4"/>
      <c r="Y77" s="4"/>
    </row>
    <row r="78" spans="1:25" ht="12.75" customHeight="1">
      <c r="A78" s="278"/>
      <c r="B78" s="329"/>
      <c r="C78" s="329"/>
      <c r="D78" s="329"/>
      <c r="E78" s="330"/>
      <c r="F78" s="4"/>
      <c r="G78" s="4"/>
      <c r="H78" s="4"/>
      <c r="I78" s="4"/>
      <c r="J78" s="4"/>
      <c r="K78" s="4"/>
      <c r="L78" s="4"/>
      <c r="M78" s="4"/>
      <c r="N78" s="4"/>
      <c r="O78" s="4"/>
      <c r="P78" s="4"/>
      <c r="Q78" s="4"/>
      <c r="R78" s="4"/>
      <c r="S78" s="4"/>
      <c r="T78" s="4"/>
      <c r="U78" s="4"/>
      <c r="V78" s="4"/>
      <c r="W78" s="4"/>
      <c r="X78" s="4"/>
      <c r="Y78" s="4"/>
    </row>
    <row r="79" spans="1:25" ht="12.75" customHeight="1">
      <c r="A79" s="165" t="s">
        <v>218</v>
      </c>
      <c r="B79" s="123">
        <f t="shared" ref="B79:E79" si="4">B30-B77</f>
        <v>45302.640434774105</v>
      </c>
      <c r="C79" s="123">
        <f t="shared" si="4"/>
        <v>1500</v>
      </c>
      <c r="D79" s="123">
        <f t="shared" si="4"/>
        <v>0</v>
      </c>
      <c r="E79" s="123">
        <f t="shared" si="4"/>
        <v>46802.640434774105</v>
      </c>
      <c r="F79" s="4"/>
      <c r="G79" s="4"/>
      <c r="H79" s="4"/>
      <c r="I79" s="4"/>
      <c r="J79" s="4"/>
      <c r="K79" s="4"/>
      <c r="L79" s="4"/>
      <c r="M79" s="4"/>
      <c r="N79" s="4"/>
      <c r="O79" s="4"/>
      <c r="P79" s="4"/>
      <c r="Q79" s="4"/>
      <c r="R79" s="4"/>
      <c r="S79" s="4"/>
      <c r="T79" s="4"/>
      <c r="U79" s="4"/>
      <c r="V79" s="4"/>
      <c r="W79" s="4"/>
      <c r="X79" s="4"/>
      <c r="Y79" s="4"/>
    </row>
    <row r="80" spans="1:25" ht="12.75" customHeight="1">
      <c r="A80" s="264"/>
      <c r="B80" s="329"/>
      <c r="C80" s="329"/>
      <c r="D80" s="329"/>
      <c r="E80" s="330"/>
      <c r="F80" s="4"/>
      <c r="G80" s="4"/>
      <c r="H80" s="4"/>
      <c r="I80" s="4"/>
      <c r="J80" s="4"/>
      <c r="K80" s="4"/>
      <c r="L80" s="4"/>
      <c r="M80" s="4"/>
      <c r="N80" s="4"/>
      <c r="O80" s="4"/>
      <c r="P80" s="4"/>
      <c r="Q80" s="4"/>
      <c r="R80" s="4"/>
      <c r="S80" s="4"/>
      <c r="T80" s="4"/>
      <c r="U80" s="4"/>
      <c r="V80" s="4"/>
      <c r="W80" s="4"/>
      <c r="X80" s="4"/>
      <c r="Y80" s="4"/>
    </row>
    <row r="81" spans="1:25" ht="12.75" customHeight="1">
      <c r="A81" s="336" t="s">
        <v>219</v>
      </c>
      <c r="B81" s="329"/>
      <c r="C81" s="329"/>
      <c r="D81" s="133"/>
      <c r="E81" s="118">
        <f>SUM(B81:D81)</f>
        <v>0</v>
      </c>
      <c r="F81" s="4"/>
      <c r="G81" s="4"/>
      <c r="H81" s="4"/>
      <c r="I81" s="4"/>
      <c r="J81" s="4"/>
      <c r="K81" s="4"/>
      <c r="L81" s="4"/>
      <c r="M81" s="4"/>
      <c r="N81" s="4"/>
      <c r="O81" s="4"/>
      <c r="P81" s="4"/>
      <c r="Q81" s="4"/>
      <c r="R81" s="4"/>
      <c r="S81" s="4"/>
      <c r="T81" s="4"/>
      <c r="U81" s="4"/>
      <c r="V81" s="4"/>
      <c r="W81" s="4"/>
      <c r="X81" s="4"/>
      <c r="Y81" s="4"/>
    </row>
    <row r="82" spans="1:25" ht="12.75" customHeight="1">
      <c r="A82" s="327"/>
      <c r="B82" s="329"/>
      <c r="C82" s="329"/>
      <c r="D82" s="133"/>
      <c r="E82" s="330"/>
      <c r="F82" s="4"/>
      <c r="G82" s="4"/>
      <c r="H82" s="4"/>
      <c r="I82" s="4"/>
      <c r="J82" s="4"/>
      <c r="K82" s="4"/>
      <c r="L82" s="4"/>
      <c r="M82" s="4"/>
      <c r="N82" s="4"/>
      <c r="O82" s="4"/>
      <c r="P82" s="4"/>
      <c r="Q82" s="4"/>
      <c r="R82" s="4"/>
      <c r="S82" s="4"/>
      <c r="T82" s="4"/>
      <c r="U82" s="4"/>
      <c r="V82" s="4"/>
      <c r="W82" s="4"/>
      <c r="X82" s="4"/>
      <c r="Y82" s="4"/>
    </row>
    <row r="83" spans="1:25" ht="12.75" hidden="1" customHeight="1">
      <c r="A83" s="338"/>
      <c r="B83" s="348"/>
      <c r="C83" s="329"/>
      <c r="D83" s="329"/>
      <c r="E83" s="330"/>
      <c r="F83" s="4"/>
      <c r="G83" s="4"/>
      <c r="H83" s="4"/>
      <c r="I83" s="4"/>
      <c r="J83" s="4"/>
      <c r="K83" s="4"/>
      <c r="L83" s="4"/>
      <c r="M83" s="4"/>
      <c r="N83" s="4"/>
      <c r="O83" s="4"/>
      <c r="P83" s="4"/>
      <c r="Q83" s="4"/>
      <c r="R83" s="4"/>
      <c r="S83" s="4"/>
      <c r="T83" s="4"/>
      <c r="U83" s="4"/>
      <c r="V83" s="4"/>
      <c r="W83" s="4"/>
      <c r="X83" s="4"/>
      <c r="Y83" s="4"/>
    </row>
    <row r="84" spans="1:25" ht="12.75" customHeight="1">
      <c r="A84" s="155" t="s">
        <v>220</v>
      </c>
      <c r="B84" s="152">
        <f t="shared" ref="B84:E84" si="5">SUM(B79:B83)</f>
        <v>45302.640434774105</v>
      </c>
      <c r="C84" s="152">
        <f t="shared" si="5"/>
        <v>1500</v>
      </c>
      <c r="D84" s="152">
        <f t="shared" si="5"/>
        <v>0</v>
      </c>
      <c r="E84" s="152">
        <f t="shared" si="5"/>
        <v>46802.640434774105</v>
      </c>
      <c r="F84" s="4"/>
      <c r="G84" s="4"/>
      <c r="H84" s="4"/>
      <c r="I84" s="4"/>
      <c r="J84" s="4"/>
      <c r="K84" s="4"/>
      <c r="L84" s="4"/>
      <c r="M84" s="4"/>
      <c r="N84" s="4"/>
      <c r="O84" s="4"/>
      <c r="P84" s="4"/>
      <c r="Q84" s="4"/>
      <c r="R84" s="4"/>
      <c r="S84" s="4"/>
      <c r="T84" s="4"/>
      <c r="U84" s="4"/>
      <c r="V84" s="4"/>
      <c r="W84" s="4"/>
      <c r="X84" s="4"/>
      <c r="Y84" s="4"/>
    </row>
    <row r="85" spans="1:25" ht="12.75" customHeight="1">
      <c r="A85" s="343"/>
      <c r="B85" s="344"/>
      <c r="C85" s="344"/>
      <c r="D85" s="344"/>
      <c r="E85" s="153"/>
      <c r="F85" s="4"/>
      <c r="G85" s="4"/>
      <c r="H85" s="4"/>
      <c r="I85" s="4"/>
      <c r="J85" s="4"/>
      <c r="K85" s="4"/>
      <c r="L85" s="4"/>
      <c r="M85" s="4"/>
      <c r="N85" s="4"/>
      <c r="O85" s="4"/>
      <c r="P85" s="4"/>
      <c r="Q85" s="4"/>
      <c r="R85" s="4"/>
      <c r="S85" s="4"/>
      <c r="T85" s="4"/>
      <c r="U85" s="4"/>
      <c r="V85" s="4"/>
      <c r="W85" s="4"/>
      <c r="X85" s="4"/>
      <c r="Y85" s="4"/>
    </row>
    <row r="86" spans="1:25" ht="12.75" customHeight="1">
      <c r="A86" s="264" t="s">
        <v>221</v>
      </c>
      <c r="B86" s="258"/>
      <c r="C86" s="258"/>
      <c r="D86" s="258"/>
      <c r="E86" s="132">
        <f>'Page 7-Year 3'!E87</f>
        <v>176513.15573592146</v>
      </c>
      <c r="F86" s="4"/>
      <c r="G86" s="4"/>
      <c r="H86" s="4"/>
      <c r="I86" s="4"/>
      <c r="J86" s="4"/>
      <c r="K86" s="4"/>
      <c r="L86" s="4"/>
      <c r="M86" s="4"/>
      <c r="N86" s="4"/>
      <c r="O86" s="4"/>
      <c r="P86" s="4"/>
      <c r="Q86" s="4"/>
      <c r="R86" s="4"/>
      <c r="S86" s="4"/>
      <c r="T86" s="4"/>
      <c r="U86" s="4"/>
      <c r="V86" s="4"/>
      <c r="W86" s="4"/>
      <c r="X86" s="4"/>
      <c r="Y86" s="4"/>
    </row>
    <row r="87" spans="1:25" ht="12.75" customHeight="1">
      <c r="A87" s="264" t="s">
        <v>222</v>
      </c>
      <c r="B87" s="258"/>
      <c r="C87" s="258"/>
      <c r="D87" s="258"/>
      <c r="E87" s="132">
        <f>E86+E84</f>
        <v>223315.79617069557</v>
      </c>
      <c r="F87" s="4"/>
      <c r="G87" s="4"/>
      <c r="H87" s="4"/>
      <c r="I87" s="4"/>
      <c r="J87" s="4"/>
      <c r="K87" s="4"/>
      <c r="L87" s="4"/>
      <c r="M87" s="4"/>
      <c r="N87" s="4"/>
      <c r="O87" s="4"/>
      <c r="P87" s="4"/>
      <c r="Q87" s="4"/>
      <c r="R87" s="4"/>
      <c r="S87" s="4"/>
      <c r="T87" s="4"/>
      <c r="U87" s="4"/>
      <c r="V87" s="4"/>
      <c r="W87" s="4"/>
      <c r="X87" s="4"/>
      <c r="Y87" s="4"/>
    </row>
    <row r="88" spans="1:25" ht="26.25" customHeight="1">
      <c r="A88" s="338" t="s">
        <v>223</v>
      </c>
      <c r="B88" s="258"/>
      <c r="C88" s="258"/>
      <c r="D88" s="258"/>
      <c r="E88" s="133">
        <f>B97</f>
        <v>83623.998426689563</v>
      </c>
      <c r="F88" s="4"/>
      <c r="G88" s="4"/>
      <c r="H88" s="4"/>
      <c r="I88" s="4"/>
      <c r="J88" s="4"/>
      <c r="K88" s="4"/>
      <c r="L88" s="4"/>
      <c r="M88" s="4"/>
      <c r="N88" s="4"/>
      <c r="O88" s="4"/>
      <c r="P88" s="4"/>
      <c r="Q88" s="4"/>
      <c r="R88" s="4"/>
      <c r="S88" s="4"/>
      <c r="T88" s="4"/>
      <c r="U88" s="4"/>
      <c r="V88" s="4"/>
      <c r="W88" s="4"/>
      <c r="X88" s="4"/>
      <c r="Y88" s="4"/>
    </row>
    <row r="89" spans="1:25" ht="12.75" customHeight="1">
      <c r="A89" s="338" t="s">
        <v>224</v>
      </c>
      <c r="B89" s="258"/>
      <c r="C89" s="258"/>
      <c r="D89" s="258"/>
      <c r="E89" s="133">
        <f>E87-E88</f>
        <v>139691.79774400601</v>
      </c>
      <c r="F89" s="4"/>
      <c r="G89" s="4"/>
      <c r="H89" s="4"/>
      <c r="I89" s="4"/>
      <c r="J89" s="4"/>
      <c r="K89" s="4"/>
      <c r="L89" s="4"/>
      <c r="M89" s="4"/>
      <c r="N89" s="4"/>
      <c r="O89" s="4"/>
      <c r="P89" s="4"/>
      <c r="Q89" s="4"/>
      <c r="R89" s="4"/>
      <c r="S89" s="4"/>
      <c r="T89" s="4"/>
      <c r="U89" s="4"/>
      <c r="V89" s="4"/>
      <c r="W89" s="4"/>
      <c r="X89" s="4"/>
      <c r="Y89" s="4"/>
    </row>
    <row r="90" spans="1:25" ht="12.75" customHeight="1">
      <c r="A90" s="338" t="s">
        <v>225</v>
      </c>
      <c r="B90" s="258"/>
      <c r="C90" s="258"/>
      <c r="D90" s="258"/>
      <c r="E90" s="134">
        <f>E89/E77</f>
        <v>6.0696171025789752E-2</v>
      </c>
      <c r="F90" s="4"/>
      <c r="G90" s="4"/>
      <c r="H90" s="4"/>
      <c r="I90" s="4"/>
      <c r="J90" s="4"/>
      <c r="K90" s="4"/>
      <c r="L90" s="4"/>
      <c r="M90" s="4"/>
      <c r="N90" s="4"/>
      <c r="O90" s="4"/>
      <c r="P90" s="4"/>
      <c r="Q90" s="4"/>
      <c r="R90" s="4"/>
      <c r="S90" s="4"/>
      <c r="T90" s="4"/>
      <c r="U90" s="4"/>
      <c r="V90" s="4"/>
      <c r="W90" s="4"/>
      <c r="X90" s="4"/>
      <c r="Y90" s="4"/>
    </row>
    <row r="91" spans="1:25" ht="12.75" customHeight="1">
      <c r="A91" s="135"/>
      <c r="B91" s="259"/>
      <c r="C91" s="259"/>
      <c r="D91" s="259"/>
      <c r="E91" s="57"/>
      <c r="F91" s="4"/>
      <c r="G91" s="4"/>
      <c r="H91" s="4"/>
      <c r="I91" s="4"/>
      <c r="J91" s="4"/>
      <c r="K91" s="4"/>
      <c r="L91" s="4"/>
      <c r="M91" s="4"/>
      <c r="N91" s="4"/>
      <c r="O91" s="4"/>
      <c r="P91" s="4"/>
      <c r="Q91" s="4"/>
      <c r="R91" s="4"/>
      <c r="S91" s="4"/>
      <c r="T91" s="4"/>
      <c r="U91" s="4"/>
      <c r="V91" s="4"/>
      <c r="W91" s="4"/>
      <c r="X91" s="4"/>
      <c r="Y91" s="4"/>
    </row>
    <row r="92" spans="1:25" ht="12.75" customHeight="1"/>
    <row r="93" spans="1:25" ht="12.75" customHeight="1"/>
    <row r="94" spans="1:25" ht="12.75" customHeight="1">
      <c r="A94" s="339" t="s">
        <v>226</v>
      </c>
      <c r="B94" s="136">
        <f>100*'Page 1-Enrollment Plan'!E21</f>
        <v>16000</v>
      </c>
    </row>
    <row r="95" spans="1:25" ht="12.75" customHeight="1">
      <c r="A95" s="339" t="s">
        <v>227</v>
      </c>
      <c r="B95" s="136">
        <f>B77*0.03</f>
        <v>67623.998426689563</v>
      </c>
    </row>
    <row r="96" spans="1:25" ht="12.75" customHeight="1">
      <c r="A96" s="339" t="s">
        <v>228</v>
      </c>
      <c r="B96" s="136">
        <v>0</v>
      </c>
    </row>
    <row r="97" spans="1:2" ht="12.75" customHeight="1">
      <c r="A97" s="339" t="s">
        <v>229</v>
      </c>
      <c r="B97" s="136">
        <f>SUM(B94:B96)</f>
        <v>83623.998426689563</v>
      </c>
    </row>
    <row r="98" spans="1:2" ht="12.75" customHeight="1"/>
    <row r="99" spans="1:2" ht="12.75" customHeight="1"/>
    <row r="100" spans="1:2" ht="12.75" customHeight="1"/>
    <row r="101" spans="1:2" ht="12.75" customHeight="1"/>
    <row r="102" spans="1:2" ht="12.75" customHeight="1"/>
    <row r="103" spans="1:2" ht="12.75" customHeight="1"/>
    <row r="104" spans="1:2" ht="12.75" customHeight="1"/>
    <row r="105" spans="1:2" ht="12.75" customHeight="1"/>
    <row r="106" spans="1:2" ht="12.75" customHeight="1"/>
    <row r="107" spans="1:2" ht="12.75" customHeight="1"/>
    <row r="108" spans="1:2" ht="12.75" customHeight="1"/>
    <row r="109" spans="1:2" ht="12.75" customHeight="1"/>
    <row r="110" spans="1:2" ht="12.75" customHeight="1"/>
    <row r="111" spans="1:2" ht="12.75" customHeight="1"/>
    <row r="112" spans="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B3:E3"/>
  </mergeCells>
  <printOptions horizontalCentered="1"/>
  <pageMargins left="0.25" right="0.25" top="0.42013888888888901" bottom="0.69027777777777799"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McManus, Michael</dc:creator>
  <cp:keywords/>
  <dc:description/>
  <cp:lastModifiedBy>Dinnen, Janet</cp:lastModifiedBy>
  <cp:revision/>
  <dcterms:created xsi:type="dcterms:W3CDTF">2023-04-04T21:02:14Z</dcterms:created>
  <dcterms:modified xsi:type="dcterms:W3CDTF">2023-04-10T14:56:43Z</dcterms:modified>
  <cp:category/>
  <cp:contentStatus/>
</cp:coreProperties>
</file>