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rger_a\Downloads\"/>
    </mc:Choice>
  </mc:AlternateContent>
  <xr:revisionPtr revIDLastSave="0" documentId="13_ncr:1_{223366BB-6E64-4ED5-80AB-0E93BEEF19C6}" xr6:coauthVersionLast="46" xr6:coauthVersionMax="46" xr10:uidLastSave="{00000000-0000-0000-0000-000000000000}"/>
  <bookViews>
    <workbookView xWindow="28680" yWindow="1515" windowWidth="29040" windowHeight="17640" tabRatio="500" firstSheet="1" activeTab="3" xr2:uid="{00000000-000D-0000-FFFF-FFFF00000000}"/>
  </bookViews>
  <sheets>
    <sheet name="Instructions" sheetId="1" r:id="rId1"/>
    <sheet name="Cover Page" sheetId="2" r:id="rId2"/>
    <sheet name="Page 1-Enrollment Plan" sheetId="3" r:id="rId3"/>
    <sheet name="Page 2-Staffing Plan" sheetId="4" r:id="rId4"/>
    <sheet name="Page 3-Assumptions" sheetId="5" r:id="rId5"/>
    <sheet name="Page 4-Current Year" sheetId="6" r:id="rId6"/>
    <sheet name="Page 5-Year 1" sheetId="7" r:id="rId7"/>
    <sheet name="Page 6-Year 2" sheetId="8" r:id="rId8"/>
    <sheet name="Page 7-Year 3" sheetId="9" r:id="rId9"/>
    <sheet name="Page 10-6 yr Budget-detail" sheetId="12" r:id="rId10"/>
    <sheet name="Page 11-6 yr Budget Summary" sheetId="13" r:id="rId11"/>
    <sheet name="Support-CDE start-up grant" sheetId="14" r:id="rId12"/>
  </sheets>
  <definedNames>
    <definedName name="__FTE1">'Page 10-6 yr Budget-detail'!$C$6</definedName>
    <definedName name="__FTE2">'Page 10-6 yr Budget-detail'!$D$6</definedName>
    <definedName name="__fTE3">'Page 10-6 yr Budget-detail'!$E$6</definedName>
    <definedName name="__FTE4">'Page 10-6 yr Budget-detail'!#REF!</definedName>
    <definedName name="_FTE1" localSheetId="10">'Page 11-6 yr Budget Summary'!$C$5</definedName>
    <definedName name="_FTE2" localSheetId="10">'Page 11-6 yr Budget Summary'!$D$5</definedName>
    <definedName name="_fTE3" localSheetId="10">'Page 11-6 yr Budget Summary'!$E$5</definedName>
    <definedName name="_FTE4" localSheetId="10">'Page 11-6 yr Budget Summary'!#REF!</definedName>
    <definedName name="FPC" localSheetId="6">'Page 5-Year 1'!$E$3</definedName>
    <definedName name="FPC" localSheetId="7">'Page 6-Year 2'!$E$3</definedName>
    <definedName name="FPC" localSheetId="8">'Page 7-Year 3'!$E$3</definedName>
    <definedName name="FPC">'Page 4-Current Year'!$E$3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" i="3" l="1"/>
  <c r="B21" i="3"/>
  <c r="B73" i="6"/>
  <c r="B71" i="6"/>
  <c r="B70" i="6"/>
  <c r="B69" i="6"/>
  <c r="E5" i="6"/>
  <c r="B65" i="6"/>
  <c r="B64" i="6"/>
  <c r="B63" i="6"/>
  <c r="E6" i="6"/>
  <c r="B28" i="6"/>
  <c r="B62" i="6"/>
  <c r="E28" i="6"/>
  <c r="B61" i="6"/>
  <c r="C15" i="4"/>
  <c r="C35" i="4"/>
  <c r="C30" i="4"/>
  <c r="C36" i="4"/>
  <c r="C37" i="4"/>
  <c r="B60" i="6"/>
  <c r="B59" i="6"/>
  <c r="B58" i="6"/>
  <c r="C32" i="4"/>
  <c r="B33" i="6"/>
  <c r="E33" i="6"/>
  <c r="B34" i="6"/>
  <c r="E34" i="6"/>
  <c r="B56" i="6"/>
  <c r="B55" i="6"/>
  <c r="B54" i="6"/>
  <c r="B53" i="6"/>
  <c r="B52" i="6"/>
  <c r="B48" i="6"/>
  <c r="C20" i="5"/>
  <c r="C23" i="6"/>
  <c r="C47" i="6"/>
  <c r="B45" i="6"/>
  <c r="B44" i="6"/>
  <c r="B42" i="6"/>
  <c r="B40" i="6"/>
  <c r="B39" i="6"/>
  <c r="B38" i="6"/>
  <c r="B37" i="6"/>
  <c r="C35" i="6"/>
  <c r="B35" i="6"/>
  <c r="B29" i="6"/>
  <c r="C25" i="6"/>
  <c r="C24" i="6"/>
  <c r="B24" i="6"/>
  <c r="B23" i="6"/>
  <c r="C22" i="6"/>
  <c r="B22" i="6"/>
  <c r="B21" i="6"/>
  <c r="C16" i="5"/>
  <c r="B20" i="6"/>
  <c r="B18" i="6"/>
  <c r="C17" i="6"/>
  <c r="C9" i="5"/>
  <c r="B16" i="6"/>
  <c r="B15" i="6"/>
  <c r="B13" i="6"/>
  <c r="B12" i="6"/>
  <c r="E31" i="5"/>
  <c r="D31" i="5"/>
  <c r="C31" i="5"/>
  <c r="B22" i="5"/>
  <c r="B21" i="5"/>
  <c r="C21" i="5"/>
  <c r="B20" i="5"/>
  <c r="B24" i="5"/>
  <c r="B19" i="5"/>
  <c r="B18" i="5"/>
  <c r="B16" i="5"/>
  <c r="B15" i="5"/>
  <c r="B13" i="5"/>
  <c r="B9" i="5"/>
  <c r="B8" i="5"/>
  <c r="C8" i="5"/>
  <c r="B6" i="5"/>
  <c r="C5" i="5"/>
  <c r="D5" i="5"/>
  <c r="D6" i="5"/>
  <c r="D8" i="5"/>
  <c r="D9" i="5"/>
  <c r="D11" i="5"/>
  <c r="D13" i="5"/>
  <c r="D15" i="5"/>
  <c r="D14" i="5"/>
  <c r="D16" i="5"/>
  <c r="D18" i="5"/>
  <c r="D19" i="5"/>
  <c r="D20" i="5"/>
  <c r="D21" i="5"/>
  <c r="D24" i="5"/>
  <c r="D22" i="5"/>
  <c r="B5" i="5"/>
  <c r="C23" i="3"/>
  <c r="C21" i="3"/>
  <c r="K5" i="3"/>
  <c r="J5" i="3"/>
  <c r="I5" i="3"/>
  <c r="H5" i="3"/>
  <c r="E5" i="3"/>
  <c r="D5" i="3"/>
  <c r="C5" i="3"/>
  <c r="B5" i="3"/>
  <c r="C4" i="12"/>
  <c r="D4" i="12"/>
  <c r="E4" i="12"/>
  <c r="B4" i="12"/>
  <c r="B5" i="13"/>
  <c r="B28" i="12"/>
  <c r="B7" i="13"/>
  <c r="C6" i="5"/>
  <c r="D29" i="6"/>
  <c r="E29" i="6"/>
  <c r="B29" i="12"/>
  <c r="B8" i="13"/>
  <c r="E9" i="6"/>
  <c r="B9" i="12"/>
  <c r="B9" i="13"/>
  <c r="E15" i="6"/>
  <c r="B15" i="12"/>
  <c r="E16" i="6"/>
  <c r="B16" i="12"/>
  <c r="E17" i="6"/>
  <c r="B17" i="12"/>
  <c r="E18" i="6"/>
  <c r="B18" i="12"/>
  <c r="E19" i="6"/>
  <c r="B19" i="12"/>
  <c r="B20" i="12"/>
  <c r="B21" i="12"/>
  <c r="B10" i="13"/>
  <c r="E22" i="6"/>
  <c r="B22" i="12"/>
  <c r="E23" i="6"/>
  <c r="B23" i="12"/>
  <c r="E24" i="6"/>
  <c r="B24" i="12"/>
  <c r="E25" i="6"/>
  <c r="B25" i="12"/>
  <c r="E26" i="6"/>
  <c r="B26" i="12"/>
  <c r="D27" i="6"/>
  <c r="E27" i="6"/>
  <c r="B27" i="12"/>
  <c r="B11" i="13"/>
  <c r="E8" i="6"/>
  <c r="B8" i="12"/>
  <c r="E14" i="6"/>
  <c r="B14" i="12"/>
  <c r="B12" i="13"/>
  <c r="E10" i="6"/>
  <c r="B10" i="12"/>
  <c r="B13" i="13"/>
  <c r="E11" i="6"/>
  <c r="B11" i="12"/>
  <c r="E12" i="6"/>
  <c r="B12" i="12"/>
  <c r="E13" i="6"/>
  <c r="B13" i="12"/>
  <c r="B14" i="13"/>
  <c r="B15" i="13"/>
  <c r="B32" i="4"/>
  <c r="B33" i="12"/>
  <c r="B34" i="12"/>
  <c r="E35" i="6"/>
  <c r="B35" i="12"/>
  <c r="E36" i="6"/>
  <c r="B36" i="12"/>
  <c r="E37" i="6"/>
  <c r="B37" i="12"/>
  <c r="E38" i="6"/>
  <c r="B38" i="12"/>
  <c r="E39" i="6"/>
  <c r="B39" i="12"/>
  <c r="E40" i="6"/>
  <c r="B40" i="12"/>
  <c r="B18" i="13"/>
  <c r="E61" i="6"/>
  <c r="B61" i="12"/>
  <c r="E62" i="6"/>
  <c r="B62" i="12"/>
  <c r="B19" i="13"/>
  <c r="E41" i="6"/>
  <c r="B41" i="12"/>
  <c r="E42" i="6"/>
  <c r="B42" i="12"/>
  <c r="B67" i="5"/>
  <c r="E43" i="6"/>
  <c r="B43" i="12"/>
  <c r="E44" i="6"/>
  <c r="B44" i="12"/>
  <c r="E45" i="6"/>
  <c r="B45" i="12"/>
  <c r="E46" i="6"/>
  <c r="B46" i="12"/>
  <c r="E47" i="6"/>
  <c r="B47" i="12"/>
  <c r="E48" i="6"/>
  <c r="B48" i="12"/>
  <c r="E53" i="6"/>
  <c r="B53" i="12"/>
  <c r="E54" i="6"/>
  <c r="B54" i="12"/>
  <c r="D55" i="6"/>
  <c r="E55" i="6"/>
  <c r="B55" i="12"/>
  <c r="E56" i="6"/>
  <c r="B56" i="12"/>
  <c r="E57" i="6"/>
  <c r="B57" i="12"/>
  <c r="E58" i="6"/>
  <c r="B58" i="12"/>
  <c r="E59" i="6"/>
  <c r="B59" i="12"/>
  <c r="E60" i="6"/>
  <c r="B60" i="12"/>
  <c r="B20" i="13"/>
  <c r="E52" i="6"/>
  <c r="B52" i="12"/>
  <c r="B22" i="13"/>
  <c r="E49" i="6"/>
  <c r="B49" i="12"/>
  <c r="E50" i="6"/>
  <c r="B50" i="12"/>
  <c r="E51" i="6"/>
  <c r="B51" i="12"/>
  <c r="E68" i="6"/>
  <c r="B68" i="12"/>
  <c r="B21" i="13"/>
  <c r="E73" i="6"/>
  <c r="B73" i="12"/>
  <c r="B23" i="13"/>
  <c r="E63" i="6"/>
  <c r="B63" i="12"/>
  <c r="E64" i="6"/>
  <c r="B64" i="12"/>
  <c r="E65" i="6"/>
  <c r="B65" i="12"/>
  <c r="B24" i="13"/>
  <c r="E66" i="6"/>
  <c r="B66" i="12"/>
  <c r="E67" i="6"/>
  <c r="B67" i="12"/>
  <c r="B25" i="13"/>
  <c r="E70" i="6"/>
  <c r="B70" i="12"/>
  <c r="B26" i="13"/>
  <c r="E69" i="6"/>
  <c r="B69" i="12"/>
  <c r="B27" i="13"/>
  <c r="E72" i="6"/>
  <c r="B72" i="12"/>
  <c r="B28" i="13"/>
  <c r="E71" i="6"/>
  <c r="B71" i="12"/>
  <c r="E74" i="6"/>
  <c r="B74" i="12"/>
  <c r="B29" i="13"/>
  <c r="B30" i="13"/>
  <c r="B31" i="13"/>
  <c r="B33" i="13"/>
  <c r="B36" i="13"/>
  <c r="B85" i="12"/>
  <c r="B39" i="13"/>
  <c r="E30" i="6"/>
  <c r="E75" i="6"/>
  <c r="E77" i="6"/>
  <c r="E82" i="6"/>
  <c r="E86" i="6"/>
  <c r="B87" i="12"/>
  <c r="B41" i="13"/>
  <c r="B75" i="6"/>
  <c r="B93" i="6"/>
  <c r="B95" i="6"/>
  <c r="E87" i="6"/>
  <c r="B88" i="12"/>
  <c r="B42" i="13"/>
  <c r="E88" i="6"/>
  <c r="B89" i="12"/>
  <c r="B43" i="13"/>
  <c r="E89" i="6"/>
  <c r="B90" i="12"/>
  <c r="B44" i="13"/>
  <c r="E33" i="13"/>
  <c r="E79" i="12"/>
  <c r="D33" i="13"/>
  <c r="D79" i="12"/>
  <c r="C33" i="13"/>
  <c r="C79" i="12"/>
  <c r="B79" i="12"/>
  <c r="E79" i="9"/>
  <c r="E15" i="4"/>
  <c r="B34" i="9"/>
  <c r="E32" i="4"/>
  <c r="B33" i="9"/>
  <c r="B35" i="9"/>
  <c r="B36" i="8"/>
  <c r="B36" i="9"/>
  <c r="E34" i="9"/>
  <c r="E33" i="9"/>
  <c r="B37" i="9"/>
  <c r="E35" i="4"/>
  <c r="E30" i="4"/>
  <c r="E36" i="4"/>
  <c r="E37" i="4"/>
  <c r="B38" i="9"/>
  <c r="B39" i="9"/>
  <c r="B40" i="7"/>
  <c r="B40" i="8"/>
  <c r="B40" i="9"/>
  <c r="B41" i="8"/>
  <c r="B41" i="9"/>
  <c r="B42" i="9"/>
  <c r="E67" i="5"/>
  <c r="B43" i="9"/>
  <c r="E21" i="3"/>
  <c r="E5" i="9"/>
  <c r="B44" i="9"/>
  <c r="B52" i="9"/>
  <c r="B53" i="9"/>
  <c r="E35" i="5"/>
  <c r="B54" i="9"/>
  <c r="B55" i="9"/>
  <c r="B56" i="9"/>
  <c r="B57" i="8"/>
  <c r="B57" i="9"/>
  <c r="B58" i="9"/>
  <c r="B59" i="9"/>
  <c r="B60" i="9"/>
  <c r="E5" i="5"/>
  <c r="E23" i="3"/>
  <c r="E6" i="9"/>
  <c r="B28" i="9"/>
  <c r="E28" i="9"/>
  <c r="B61" i="9"/>
  <c r="B62" i="9"/>
  <c r="B63" i="9"/>
  <c r="B64" i="9"/>
  <c r="B65" i="9"/>
  <c r="B71" i="9"/>
  <c r="B73" i="9"/>
  <c r="B75" i="9"/>
  <c r="B93" i="9"/>
  <c r="B92" i="9"/>
  <c r="B95" i="9"/>
  <c r="E86" i="9"/>
  <c r="E79" i="8"/>
  <c r="E79" i="7"/>
  <c r="E79" i="6"/>
  <c r="E6" i="7"/>
  <c r="B28" i="7"/>
  <c r="E28" i="7"/>
  <c r="C28" i="12"/>
  <c r="C7" i="13"/>
  <c r="B29" i="7"/>
  <c r="E29" i="7"/>
  <c r="C29" i="12"/>
  <c r="C8" i="13"/>
  <c r="C9" i="12"/>
  <c r="C9" i="13"/>
  <c r="B15" i="7"/>
  <c r="E15" i="7"/>
  <c r="C15" i="12"/>
  <c r="B16" i="7"/>
  <c r="E16" i="7"/>
  <c r="C16" i="12"/>
  <c r="C17" i="7"/>
  <c r="E17" i="7"/>
  <c r="C17" i="12"/>
  <c r="C14" i="5"/>
  <c r="B18" i="7"/>
  <c r="E18" i="7"/>
  <c r="C18" i="12"/>
  <c r="C19" i="12"/>
  <c r="B20" i="7"/>
  <c r="E20" i="7"/>
  <c r="C20" i="12"/>
  <c r="C21" i="12"/>
  <c r="C10" i="13"/>
  <c r="C19" i="5"/>
  <c r="B22" i="7"/>
  <c r="C22" i="7"/>
  <c r="E22" i="7"/>
  <c r="C22" i="12"/>
  <c r="B23" i="7"/>
  <c r="C23" i="7"/>
  <c r="E23" i="7"/>
  <c r="C23" i="12"/>
  <c r="B24" i="7"/>
  <c r="C24" i="7"/>
  <c r="E24" i="7"/>
  <c r="C24" i="12"/>
  <c r="C24" i="5"/>
  <c r="C22" i="5"/>
  <c r="C25" i="7"/>
  <c r="E25" i="7"/>
  <c r="C25" i="12"/>
  <c r="C26" i="12"/>
  <c r="C27" i="12"/>
  <c r="C11" i="13"/>
  <c r="C8" i="12"/>
  <c r="C14" i="12"/>
  <c r="C12" i="13"/>
  <c r="C10" i="12"/>
  <c r="C13" i="13"/>
  <c r="C11" i="12"/>
  <c r="B73" i="7"/>
  <c r="B12" i="7"/>
  <c r="E12" i="7"/>
  <c r="C12" i="12"/>
  <c r="E5" i="7"/>
  <c r="B13" i="7"/>
  <c r="E13" i="7"/>
  <c r="C13" i="12"/>
  <c r="C14" i="13"/>
  <c r="C15" i="13"/>
  <c r="B33" i="7"/>
  <c r="E33" i="7"/>
  <c r="C33" i="12"/>
  <c r="B34" i="7"/>
  <c r="E34" i="7"/>
  <c r="C34" i="12"/>
  <c r="B35" i="7"/>
  <c r="E35" i="7"/>
  <c r="C35" i="12"/>
  <c r="C36" i="12"/>
  <c r="B37" i="7"/>
  <c r="E37" i="7"/>
  <c r="C37" i="12"/>
  <c r="B38" i="7"/>
  <c r="E38" i="7"/>
  <c r="C38" i="12"/>
  <c r="B39" i="7"/>
  <c r="E39" i="7"/>
  <c r="C39" i="12"/>
  <c r="E40" i="7"/>
  <c r="C40" i="12"/>
  <c r="C18" i="13"/>
  <c r="B61" i="7"/>
  <c r="E61" i="7"/>
  <c r="C61" i="12"/>
  <c r="B62" i="7"/>
  <c r="E62" i="7"/>
  <c r="C62" i="12"/>
  <c r="C19" i="13"/>
  <c r="C41" i="12"/>
  <c r="B42" i="7"/>
  <c r="E42" i="7"/>
  <c r="C42" i="12"/>
  <c r="C43" i="12"/>
  <c r="B44" i="7"/>
  <c r="E44" i="7"/>
  <c r="C44" i="12"/>
  <c r="C45" i="12"/>
  <c r="C46" i="12"/>
  <c r="C47" i="7"/>
  <c r="E47" i="7"/>
  <c r="C47" i="12"/>
  <c r="C48" i="12"/>
  <c r="B53" i="7"/>
  <c r="E53" i="7"/>
  <c r="C53" i="12"/>
  <c r="C35" i="5"/>
  <c r="B54" i="7"/>
  <c r="E54" i="7"/>
  <c r="C54" i="12"/>
  <c r="B55" i="7"/>
  <c r="E55" i="7"/>
  <c r="C55" i="12"/>
  <c r="B56" i="7"/>
  <c r="E56" i="7"/>
  <c r="C56" i="12"/>
  <c r="C57" i="12"/>
  <c r="B58" i="7"/>
  <c r="E58" i="7"/>
  <c r="C58" i="12"/>
  <c r="B59" i="7"/>
  <c r="E59" i="7"/>
  <c r="C59" i="12"/>
  <c r="B60" i="7"/>
  <c r="E60" i="7"/>
  <c r="C60" i="12"/>
  <c r="C20" i="13"/>
  <c r="B52" i="7"/>
  <c r="E52" i="7"/>
  <c r="C52" i="12"/>
  <c r="C22" i="13"/>
  <c r="C49" i="12"/>
  <c r="C50" i="12"/>
  <c r="C51" i="12"/>
  <c r="C68" i="12"/>
  <c r="C21" i="13"/>
  <c r="E73" i="7"/>
  <c r="C73" i="12"/>
  <c r="C23" i="13"/>
  <c r="B63" i="7"/>
  <c r="E63" i="7"/>
  <c r="C63" i="12"/>
  <c r="B64" i="7"/>
  <c r="E64" i="7"/>
  <c r="C64" i="12"/>
  <c r="B65" i="7"/>
  <c r="E65" i="7"/>
  <c r="C65" i="12"/>
  <c r="C24" i="13"/>
  <c r="C66" i="12"/>
  <c r="C67" i="12"/>
  <c r="C25" i="13"/>
  <c r="C70" i="12"/>
  <c r="C26" i="13"/>
  <c r="C69" i="12"/>
  <c r="C27" i="13"/>
  <c r="C72" i="12"/>
  <c r="C28" i="13"/>
  <c r="B71" i="7"/>
  <c r="E71" i="7"/>
  <c r="C71" i="12"/>
  <c r="C74" i="12"/>
  <c r="C29" i="13"/>
  <c r="C30" i="13"/>
  <c r="C31" i="13"/>
  <c r="C36" i="13"/>
  <c r="D23" i="3"/>
  <c r="E6" i="8"/>
  <c r="B28" i="8"/>
  <c r="E28" i="8"/>
  <c r="D28" i="12"/>
  <c r="D7" i="13"/>
  <c r="B29" i="8"/>
  <c r="E29" i="8"/>
  <c r="D29" i="12"/>
  <c r="D8" i="13"/>
  <c r="D9" i="12"/>
  <c r="D9" i="13"/>
  <c r="B15" i="8"/>
  <c r="E15" i="8"/>
  <c r="D15" i="12"/>
  <c r="B16" i="8"/>
  <c r="E16" i="8"/>
  <c r="D16" i="12"/>
  <c r="C13" i="5"/>
  <c r="C17" i="8"/>
  <c r="E17" i="8"/>
  <c r="D17" i="12"/>
  <c r="B18" i="8"/>
  <c r="E18" i="8"/>
  <c r="D18" i="12"/>
  <c r="D19" i="12"/>
  <c r="B20" i="8"/>
  <c r="E20" i="8"/>
  <c r="D20" i="12"/>
  <c r="D21" i="12"/>
  <c r="D10" i="13"/>
  <c r="C22" i="8"/>
  <c r="E22" i="8"/>
  <c r="D22" i="12"/>
  <c r="C23" i="8"/>
  <c r="E23" i="8"/>
  <c r="D23" i="12"/>
  <c r="C24" i="8"/>
  <c r="E24" i="8"/>
  <c r="D24" i="12"/>
  <c r="C25" i="8"/>
  <c r="E25" i="8"/>
  <c r="D25" i="12"/>
  <c r="D26" i="12"/>
  <c r="D27" i="12"/>
  <c r="D11" i="13"/>
  <c r="D8" i="12"/>
  <c r="D14" i="12"/>
  <c r="D12" i="13"/>
  <c r="D10" i="12"/>
  <c r="D13" i="13"/>
  <c r="D11" i="12"/>
  <c r="D21" i="3"/>
  <c r="B73" i="8"/>
  <c r="B12" i="8"/>
  <c r="E12" i="8"/>
  <c r="D12" i="12"/>
  <c r="E5" i="8"/>
  <c r="B13" i="8"/>
  <c r="E13" i="8"/>
  <c r="D13" i="12"/>
  <c r="D14" i="13"/>
  <c r="D15" i="13"/>
  <c r="D32" i="4"/>
  <c r="B33" i="8"/>
  <c r="E33" i="8"/>
  <c r="D33" i="12"/>
  <c r="D15" i="4"/>
  <c r="B34" i="8"/>
  <c r="E34" i="8"/>
  <c r="D34" i="12"/>
  <c r="B35" i="8"/>
  <c r="E35" i="8"/>
  <c r="D35" i="12"/>
  <c r="E36" i="8"/>
  <c r="D36" i="12"/>
  <c r="B37" i="8"/>
  <c r="E37" i="8"/>
  <c r="D37" i="12"/>
  <c r="D35" i="4"/>
  <c r="D30" i="4"/>
  <c r="D36" i="4"/>
  <c r="D37" i="4"/>
  <c r="B38" i="8"/>
  <c r="E38" i="8"/>
  <c r="D38" i="12"/>
  <c r="B39" i="8"/>
  <c r="E39" i="8"/>
  <c r="D39" i="12"/>
  <c r="E40" i="8"/>
  <c r="D40" i="12"/>
  <c r="D18" i="13"/>
  <c r="B61" i="8"/>
  <c r="E61" i="8"/>
  <c r="D61" i="12"/>
  <c r="B62" i="8"/>
  <c r="E62" i="8"/>
  <c r="D62" i="12"/>
  <c r="D19" i="13"/>
  <c r="E41" i="8"/>
  <c r="D41" i="12"/>
  <c r="B42" i="8"/>
  <c r="E42" i="8"/>
  <c r="D42" i="12"/>
  <c r="B43" i="8"/>
  <c r="E43" i="8"/>
  <c r="D43" i="12"/>
  <c r="B44" i="8"/>
  <c r="E44" i="8"/>
  <c r="D44" i="12"/>
  <c r="D45" i="12"/>
  <c r="D46" i="12"/>
  <c r="C47" i="8"/>
  <c r="E47" i="8"/>
  <c r="D47" i="12"/>
  <c r="D48" i="12"/>
  <c r="B53" i="8"/>
  <c r="E53" i="8"/>
  <c r="D53" i="12"/>
  <c r="D35" i="5"/>
  <c r="B54" i="8"/>
  <c r="E54" i="8"/>
  <c r="D54" i="12"/>
  <c r="B55" i="8"/>
  <c r="E55" i="8"/>
  <c r="D55" i="12"/>
  <c r="B56" i="8"/>
  <c r="E56" i="8"/>
  <c r="D56" i="12"/>
  <c r="E57" i="8"/>
  <c r="D57" i="12"/>
  <c r="B58" i="8"/>
  <c r="E58" i="8"/>
  <c r="D58" i="12"/>
  <c r="B59" i="8"/>
  <c r="E59" i="8"/>
  <c r="D59" i="12"/>
  <c r="B60" i="8"/>
  <c r="E60" i="8"/>
  <c r="D60" i="12"/>
  <c r="D20" i="13"/>
  <c r="B52" i="8"/>
  <c r="E52" i="8"/>
  <c r="D52" i="12"/>
  <c r="D22" i="13"/>
  <c r="D49" i="12"/>
  <c r="D50" i="12"/>
  <c r="D51" i="12"/>
  <c r="D68" i="12"/>
  <c r="D21" i="13"/>
  <c r="E73" i="8"/>
  <c r="D73" i="12"/>
  <c r="D23" i="13"/>
  <c r="B63" i="8"/>
  <c r="E63" i="8"/>
  <c r="D63" i="12"/>
  <c r="B64" i="8"/>
  <c r="E64" i="8"/>
  <c r="D64" i="12"/>
  <c r="B65" i="8"/>
  <c r="E65" i="8"/>
  <c r="D65" i="12"/>
  <c r="D24" i="13"/>
  <c r="D66" i="12"/>
  <c r="D67" i="12"/>
  <c r="D25" i="13"/>
  <c r="D70" i="12"/>
  <c r="D26" i="13"/>
  <c r="D69" i="12"/>
  <c r="D27" i="13"/>
  <c r="D72" i="12"/>
  <c r="D28" i="13"/>
  <c r="B71" i="8"/>
  <c r="E71" i="8"/>
  <c r="D71" i="12"/>
  <c r="D74" i="12"/>
  <c r="D29" i="13"/>
  <c r="D30" i="13"/>
  <c r="D31" i="13"/>
  <c r="D36" i="13"/>
  <c r="E28" i="12"/>
  <c r="E7" i="13"/>
  <c r="E6" i="5"/>
  <c r="B29" i="9"/>
  <c r="E29" i="9"/>
  <c r="E29" i="12"/>
  <c r="E8" i="13"/>
  <c r="E9" i="12"/>
  <c r="E9" i="13"/>
  <c r="E8" i="5"/>
  <c r="B15" i="9"/>
  <c r="E15" i="9"/>
  <c r="E15" i="12"/>
  <c r="E9" i="5"/>
  <c r="B16" i="9"/>
  <c r="E16" i="9"/>
  <c r="E16" i="12"/>
  <c r="E11" i="5"/>
  <c r="C17" i="9"/>
  <c r="E17" i="9"/>
  <c r="E17" i="12"/>
  <c r="E15" i="5"/>
  <c r="E14" i="5"/>
  <c r="B18" i="9"/>
  <c r="E18" i="9"/>
  <c r="E18" i="12"/>
  <c r="E19" i="12"/>
  <c r="E16" i="5"/>
  <c r="B20" i="9"/>
  <c r="E20" i="9"/>
  <c r="E20" i="12"/>
  <c r="E21" i="12"/>
  <c r="E10" i="13"/>
  <c r="E19" i="5"/>
  <c r="C22" i="9"/>
  <c r="E22" i="9"/>
  <c r="E22" i="12"/>
  <c r="E20" i="5"/>
  <c r="C23" i="9"/>
  <c r="E23" i="9"/>
  <c r="E23" i="12"/>
  <c r="E21" i="5"/>
  <c r="C24" i="9"/>
  <c r="E24" i="9"/>
  <c r="E24" i="12"/>
  <c r="E24" i="5"/>
  <c r="E22" i="5"/>
  <c r="C25" i="9"/>
  <c r="E25" i="9"/>
  <c r="E25" i="12"/>
  <c r="E26" i="12"/>
  <c r="E27" i="12"/>
  <c r="E11" i="13"/>
  <c r="E8" i="12"/>
  <c r="E14" i="12"/>
  <c r="E12" i="13"/>
  <c r="E10" i="12"/>
  <c r="E13" i="13"/>
  <c r="E11" i="12"/>
  <c r="B12" i="9"/>
  <c r="E12" i="9"/>
  <c r="E12" i="12"/>
  <c r="B13" i="9"/>
  <c r="E13" i="9"/>
  <c r="E13" i="12"/>
  <c r="E14" i="13"/>
  <c r="E15" i="13"/>
  <c r="E33" i="12"/>
  <c r="E34" i="12"/>
  <c r="E35" i="9"/>
  <c r="E35" i="12"/>
  <c r="E36" i="9"/>
  <c r="E36" i="12"/>
  <c r="E37" i="9"/>
  <c r="E37" i="12"/>
  <c r="E38" i="9"/>
  <c r="E38" i="12"/>
  <c r="E39" i="9"/>
  <c r="E39" i="12"/>
  <c r="E40" i="9"/>
  <c r="E40" i="12"/>
  <c r="E18" i="13"/>
  <c r="E61" i="9"/>
  <c r="E61" i="12"/>
  <c r="E62" i="9"/>
  <c r="E62" i="12"/>
  <c r="E19" i="13"/>
  <c r="E41" i="9"/>
  <c r="E41" i="12"/>
  <c r="E42" i="9"/>
  <c r="E42" i="12"/>
  <c r="E43" i="9"/>
  <c r="E43" i="12"/>
  <c r="E44" i="9"/>
  <c r="E44" i="12"/>
  <c r="E45" i="12"/>
  <c r="E46" i="12"/>
  <c r="C47" i="9"/>
  <c r="E47" i="9"/>
  <c r="E47" i="12"/>
  <c r="E48" i="12"/>
  <c r="E53" i="9"/>
  <c r="E53" i="12"/>
  <c r="E54" i="9"/>
  <c r="E54" i="12"/>
  <c r="E55" i="9"/>
  <c r="E55" i="12"/>
  <c r="E56" i="9"/>
  <c r="E56" i="12"/>
  <c r="E57" i="9"/>
  <c r="E57" i="12"/>
  <c r="E58" i="9"/>
  <c r="E58" i="12"/>
  <c r="E59" i="9"/>
  <c r="E59" i="12"/>
  <c r="E60" i="9"/>
  <c r="E60" i="12"/>
  <c r="E20" i="13"/>
  <c r="E52" i="9"/>
  <c r="E52" i="12"/>
  <c r="E22" i="13"/>
  <c r="E49" i="12"/>
  <c r="E50" i="12"/>
  <c r="E51" i="12"/>
  <c r="E68" i="12"/>
  <c r="E21" i="13"/>
  <c r="E73" i="9"/>
  <c r="E73" i="12"/>
  <c r="E23" i="13"/>
  <c r="E63" i="9"/>
  <c r="E63" i="12"/>
  <c r="E64" i="9"/>
  <c r="E64" i="12"/>
  <c r="E65" i="9"/>
  <c r="E65" i="12"/>
  <c r="E24" i="13"/>
  <c r="E66" i="12"/>
  <c r="E67" i="12"/>
  <c r="E25" i="13"/>
  <c r="E70" i="12"/>
  <c r="E26" i="13"/>
  <c r="E69" i="12"/>
  <c r="E27" i="13"/>
  <c r="E72" i="12"/>
  <c r="E28" i="13"/>
  <c r="E71" i="9"/>
  <c r="E71" i="12"/>
  <c r="E74" i="12"/>
  <c r="E29" i="13"/>
  <c r="E30" i="13"/>
  <c r="E31" i="13"/>
  <c r="E36" i="13"/>
  <c r="C30" i="12"/>
  <c r="C75" i="12"/>
  <c r="C77" i="12"/>
  <c r="C83" i="12"/>
  <c r="B75" i="7"/>
  <c r="B93" i="7"/>
  <c r="B92" i="7"/>
  <c r="B92" i="8"/>
  <c r="B75" i="8"/>
  <c r="B93" i="8"/>
  <c r="B95" i="8"/>
  <c r="E84" i="7"/>
  <c r="C18" i="5"/>
  <c r="B21" i="7"/>
  <c r="B30" i="7"/>
  <c r="B77" i="7"/>
  <c r="C30" i="7"/>
  <c r="C75" i="7"/>
  <c r="C77" i="7"/>
  <c r="E77" i="7"/>
  <c r="E82" i="7"/>
  <c r="E85" i="7"/>
  <c r="E84" i="8"/>
  <c r="E30" i="8"/>
  <c r="E75" i="8"/>
  <c r="E77" i="8"/>
  <c r="E82" i="8"/>
  <c r="E85" i="8"/>
  <c r="E84" i="9"/>
  <c r="E30" i="9"/>
  <c r="E75" i="9"/>
  <c r="E77" i="9"/>
  <c r="E82" i="9"/>
  <c r="E85" i="9"/>
  <c r="E87" i="9"/>
  <c r="E86" i="8"/>
  <c r="E87" i="8"/>
  <c r="B95" i="7"/>
  <c r="E86" i="7"/>
  <c r="E87" i="7"/>
  <c r="B30" i="6"/>
  <c r="B77" i="6"/>
  <c r="B82" i="6"/>
  <c r="C30" i="6"/>
  <c r="C75" i="6"/>
  <c r="C77" i="6"/>
  <c r="C82" i="6"/>
  <c r="D30" i="6"/>
  <c r="D75" i="6"/>
  <c r="D77" i="6"/>
  <c r="D82" i="6"/>
  <c r="D33" i="6"/>
  <c r="D35" i="6"/>
  <c r="D36" i="6"/>
  <c r="D45" i="6"/>
  <c r="D46" i="6"/>
  <c r="D48" i="6"/>
  <c r="D60" i="6"/>
  <c r="D66" i="6"/>
  <c r="D69" i="6"/>
  <c r="D70" i="6"/>
  <c r="E9" i="9"/>
  <c r="E9" i="8"/>
  <c r="E9" i="7"/>
  <c r="E18" i="5"/>
  <c r="B21" i="9"/>
  <c r="B30" i="9"/>
  <c r="B49" i="8"/>
  <c r="B49" i="9"/>
  <c r="B50" i="8"/>
  <c r="B50" i="9"/>
  <c r="B51" i="8"/>
  <c r="B51" i="9"/>
  <c r="B67" i="8"/>
  <c r="B67" i="9"/>
  <c r="B68" i="8"/>
  <c r="B68" i="9"/>
  <c r="D46" i="8"/>
  <c r="B46" i="9"/>
  <c r="D48" i="8"/>
  <c r="B48" i="9"/>
  <c r="D66" i="8"/>
  <c r="B66" i="9"/>
  <c r="B77" i="9"/>
  <c r="B21" i="8"/>
  <c r="E13" i="5"/>
  <c r="E19" i="9"/>
  <c r="E19" i="8"/>
  <c r="E19" i="7"/>
  <c r="D27" i="8"/>
  <c r="D27" i="7"/>
  <c r="C33" i="14"/>
  <c r="C35" i="14"/>
  <c r="D33" i="14"/>
  <c r="D35" i="14"/>
  <c r="B33" i="14"/>
  <c r="B35" i="14"/>
  <c r="E8" i="9"/>
  <c r="E10" i="9"/>
  <c r="E11" i="9"/>
  <c r="E14" i="9"/>
  <c r="E26" i="9"/>
  <c r="E27" i="9"/>
  <c r="E45" i="9"/>
  <c r="E46" i="9"/>
  <c r="E48" i="9"/>
  <c r="E49" i="9"/>
  <c r="E50" i="9"/>
  <c r="E51" i="9"/>
  <c r="E66" i="9"/>
  <c r="E67" i="9"/>
  <c r="E68" i="9"/>
  <c r="E69" i="9"/>
  <c r="E70" i="9"/>
  <c r="E72" i="9"/>
  <c r="E74" i="9"/>
  <c r="E8" i="8"/>
  <c r="E10" i="8"/>
  <c r="E11" i="8"/>
  <c r="E14" i="8"/>
  <c r="E26" i="8"/>
  <c r="E27" i="8"/>
  <c r="B45" i="7"/>
  <c r="B45" i="8"/>
  <c r="D45" i="8"/>
  <c r="E45" i="8"/>
  <c r="E46" i="8"/>
  <c r="B48" i="7"/>
  <c r="B48" i="8"/>
  <c r="E48" i="8"/>
  <c r="E49" i="8"/>
  <c r="E50" i="8"/>
  <c r="E51" i="8"/>
  <c r="D59" i="8"/>
  <c r="D60" i="8"/>
  <c r="E66" i="8"/>
  <c r="E67" i="8"/>
  <c r="E68" i="8"/>
  <c r="B69" i="7"/>
  <c r="B69" i="8"/>
  <c r="D69" i="8"/>
  <c r="E69" i="8"/>
  <c r="B70" i="7"/>
  <c r="B70" i="8"/>
  <c r="D70" i="8"/>
  <c r="E70" i="8"/>
  <c r="E72" i="8"/>
  <c r="E74" i="8"/>
  <c r="C35" i="7"/>
  <c r="D30" i="7"/>
  <c r="D45" i="7"/>
  <c r="D46" i="7"/>
  <c r="D48" i="7"/>
  <c r="D59" i="7"/>
  <c r="D60" i="7"/>
  <c r="D66" i="7"/>
  <c r="D69" i="7"/>
  <c r="D70" i="7"/>
  <c r="D75" i="7"/>
  <c r="D77" i="7"/>
  <c r="B30" i="8"/>
  <c r="E88" i="9"/>
  <c r="E90" i="12"/>
  <c r="E44" i="13"/>
  <c r="E88" i="8"/>
  <c r="D90" i="12"/>
  <c r="D44" i="13"/>
  <c r="E36" i="7"/>
  <c r="E41" i="7"/>
  <c r="E43" i="7"/>
  <c r="E45" i="7"/>
  <c r="E46" i="7"/>
  <c r="E48" i="7"/>
  <c r="E49" i="7"/>
  <c r="E50" i="7"/>
  <c r="E51" i="7"/>
  <c r="E57" i="7"/>
  <c r="E66" i="7"/>
  <c r="E67" i="7"/>
  <c r="E68" i="7"/>
  <c r="E69" i="7"/>
  <c r="E70" i="7"/>
  <c r="E72" i="7"/>
  <c r="E74" i="7"/>
  <c r="E75" i="7"/>
  <c r="E89" i="12"/>
  <c r="E43" i="13"/>
  <c r="D89" i="12"/>
  <c r="D43" i="13"/>
  <c r="E88" i="12"/>
  <c r="E42" i="13"/>
  <c r="D88" i="12"/>
  <c r="D42" i="13"/>
  <c r="C88" i="12"/>
  <c r="C42" i="13"/>
  <c r="E87" i="12"/>
  <c r="E41" i="13"/>
  <c r="D87" i="12"/>
  <c r="D41" i="13"/>
  <c r="C87" i="12"/>
  <c r="C41" i="13"/>
  <c r="E85" i="12"/>
  <c r="E39" i="13"/>
  <c r="D85" i="12"/>
  <c r="D39" i="13"/>
  <c r="C85" i="12"/>
  <c r="C39" i="13"/>
  <c r="E26" i="7"/>
  <c r="E27" i="7"/>
  <c r="E8" i="7"/>
  <c r="E14" i="7"/>
  <c r="E10" i="7"/>
  <c r="E11" i="7"/>
  <c r="E5" i="13"/>
  <c r="D5" i="13"/>
  <c r="C5" i="13"/>
  <c r="E4" i="13"/>
  <c r="D4" i="13"/>
  <c r="C4" i="13"/>
  <c r="A1" i="5"/>
  <c r="A1" i="13"/>
  <c r="E104" i="12"/>
  <c r="E75" i="12"/>
  <c r="E105" i="12"/>
  <c r="D104" i="12"/>
  <c r="D75" i="12"/>
  <c r="D105" i="12"/>
  <c r="C104" i="12"/>
  <c r="C105" i="12"/>
  <c r="B104" i="12"/>
  <c r="B75" i="12"/>
  <c r="B105" i="12"/>
  <c r="E44" i="4"/>
  <c r="E45" i="4"/>
  <c r="E100" i="12"/>
  <c r="E93" i="12"/>
  <c r="E101" i="12"/>
  <c r="E96" i="12"/>
  <c r="E102" i="12"/>
  <c r="D44" i="4"/>
  <c r="D45" i="4"/>
  <c r="D100" i="12"/>
  <c r="D93" i="12"/>
  <c r="D101" i="12"/>
  <c r="D96" i="12"/>
  <c r="D102" i="12"/>
  <c r="C44" i="4"/>
  <c r="C45" i="4"/>
  <c r="C100" i="12"/>
  <c r="C93" i="12"/>
  <c r="C101" i="12"/>
  <c r="C96" i="12"/>
  <c r="C102" i="12"/>
  <c r="B44" i="4"/>
  <c r="B45" i="4"/>
  <c r="B100" i="12"/>
  <c r="B93" i="12"/>
  <c r="B101" i="12"/>
  <c r="B96" i="12"/>
  <c r="B102" i="12"/>
  <c r="E97" i="12"/>
  <c r="D97" i="12"/>
  <c r="C97" i="12"/>
  <c r="B97" i="12"/>
  <c r="E94" i="12"/>
  <c r="D94" i="12"/>
  <c r="C94" i="12"/>
  <c r="B94" i="12"/>
  <c r="E30" i="12"/>
  <c r="E77" i="12"/>
  <c r="E83" i="12"/>
  <c r="D30" i="12"/>
  <c r="D77" i="12"/>
  <c r="D83" i="12"/>
  <c r="B30" i="12"/>
  <c r="B77" i="12"/>
  <c r="B83" i="12"/>
  <c r="E6" i="12"/>
  <c r="D6" i="12"/>
  <c r="C6" i="12"/>
  <c r="B6" i="12"/>
  <c r="E5" i="12"/>
  <c r="D5" i="12"/>
  <c r="C5" i="12"/>
  <c r="A1" i="12"/>
  <c r="D30" i="9"/>
  <c r="D75" i="9"/>
  <c r="D77" i="9"/>
  <c r="D82" i="9"/>
  <c r="C30" i="9"/>
  <c r="C75" i="9"/>
  <c r="C77" i="9"/>
  <c r="C82" i="9"/>
  <c r="B82" i="9"/>
  <c r="B3" i="9"/>
  <c r="A2" i="9"/>
  <c r="A1" i="9"/>
  <c r="D30" i="8"/>
  <c r="D75" i="8"/>
  <c r="D77" i="8"/>
  <c r="D82" i="8"/>
  <c r="C30" i="8"/>
  <c r="C75" i="8"/>
  <c r="C77" i="8"/>
  <c r="C82" i="8"/>
  <c r="B77" i="8"/>
  <c r="B82" i="8"/>
  <c r="B3" i="8"/>
  <c r="A2" i="8"/>
  <c r="A1" i="8"/>
  <c r="D82" i="7"/>
  <c r="C82" i="7"/>
  <c r="B82" i="7"/>
  <c r="E30" i="7"/>
  <c r="B3" i="7"/>
  <c r="A2" i="7"/>
  <c r="A1" i="7"/>
  <c r="B3" i="6"/>
  <c r="A2" i="6"/>
  <c r="A1" i="6"/>
  <c r="D67" i="5"/>
  <c r="C67" i="5"/>
  <c r="C15" i="5"/>
  <c r="E4" i="5"/>
  <c r="D4" i="5"/>
  <c r="C4" i="5"/>
  <c r="B4" i="5"/>
  <c r="E47" i="4"/>
  <c r="D47" i="4"/>
  <c r="C47" i="4"/>
  <c r="B47" i="4"/>
  <c r="E5" i="4"/>
  <c r="E40" i="4"/>
  <c r="D5" i="4"/>
  <c r="D40" i="4"/>
  <c r="C5" i="4"/>
  <c r="C40" i="4"/>
  <c r="E39" i="4"/>
  <c r="D39" i="4"/>
  <c r="C39" i="4"/>
  <c r="B15" i="4"/>
  <c r="B35" i="4"/>
  <c r="B30" i="4"/>
  <c r="B36" i="4"/>
  <c r="B37" i="4"/>
  <c r="E17" i="4"/>
  <c r="D17" i="4"/>
  <c r="C17" i="4"/>
  <c r="B5" i="4"/>
  <c r="B17" i="4"/>
  <c r="E4" i="4"/>
  <c r="D4" i="4"/>
  <c r="C4" i="4"/>
  <c r="B4" i="4"/>
  <c r="A1" i="4"/>
  <c r="A1" i="3"/>
  <c r="C89" i="12"/>
  <c r="C43" i="13"/>
  <c r="E88" i="7"/>
  <c r="C90" i="12"/>
  <c r="C44" i="13"/>
</calcChain>
</file>

<file path=xl/sharedStrings.xml><?xml version="1.0" encoding="utf-8"?>
<sst xmlns="http://schemas.openxmlformats.org/spreadsheetml/2006/main" count="740" uniqueCount="317">
  <si>
    <t>Instructions</t>
  </si>
  <si>
    <t xml:space="preserve">The budget should balance in all years and reflect an understanding of specific statutory requirements including: 
a. separation of the general operating funds and grant funds 
b. Public Employees’ Retirement Association (PERA) contributions 
c. 3% TABOR reserve (Colorado Constitution Article X, Section 20) 
</t>
  </si>
  <si>
    <r>
      <rPr>
        <sz val="12"/>
        <rFont val="Calibri"/>
        <charset val="1"/>
      </rPr>
      <t xml:space="preserve">On the </t>
    </r>
    <r>
      <rPr>
        <sz val="12"/>
        <color rgb="FFFF6600"/>
        <rFont val="Calibri"/>
        <charset val="1"/>
      </rPr>
      <t>COVER PAGE</t>
    </r>
    <r>
      <rPr>
        <sz val="12"/>
        <rFont val="Calibri"/>
        <charset val="1"/>
      </rPr>
      <t>, fill in the cells that include blue text including the applicant's logo, proposed school name, and the developer(s).</t>
    </r>
  </si>
  <si>
    <r>
      <rPr>
        <sz val="12"/>
        <rFont val="Calibri"/>
        <charset val="1"/>
      </rPr>
      <t xml:space="preserve">On </t>
    </r>
    <r>
      <rPr>
        <sz val="12"/>
        <color rgb="FFFF6600"/>
        <rFont val="Calibri"/>
        <charset val="1"/>
      </rPr>
      <t>Page 1-Enrollment Plan</t>
    </r>
    <r>
      <rPr>
        <sz val="12"/>
        <rFont val="Calibri"/>
        <charset val="1"/>
      </rPr>
      <t xml:space="preserve">, fill in cells B6:F19 will the applicant's estimated enrollment in years 1-5. </t>
    </r>
  </si>
  <si>
    <t>Total number of students and total number of funded students will populate automatically.</t>
  </si>
  <si>
    <r>
      <rPr>
        <sz val="12"/>
        <rFont val="Calibri"/>
        <charset val="1"/>
      </rPr>
      <t xml:space="preserve">On </t>
    </r>
    <r>
      <rPr>
        <sz val="12"/>
        <color rgb="FFFF6600"/>
        <rFont val="Calibri"/>
        <charset val="1"/>
      </rPr>
      <t>Page 2-Staffing Plan</t>
    </r>
    <r>
      <rPr>
        <sz val="12"/>
        <rFont val="Calibri"/>
        <charset val="1"/>
      </rPr>
      <t>, enter position titles in column A under Instructional Staff and Admin &amp; Support.</t>
    </r>
  </si>
  <si>
    <t>Enter the corresponding FTE for years 0-5 in columns B through G.</t>
  </si>
  <si>
    <t>Enter the corresponding average position salary in column I.</t>
  </si>
  <si>
    <t>Enter Stipends/Additional Pay information as needed. For example, 5 stipends (FTE columns) @ $5,000 (column I)</t>
  </si>
  <si>
    <t>In cell I32, enter the cost of living/annual compensation percentage increase assumption.</t>
  </si>
  <si>
    <t>Student to teacher and student to staff ratios are calculated automatically at the bottom of the Staffing Plan page.</t>
  </si>
  <si>
    <t>Information on the Staffing Plan page is totaled on Pages 4-9.</t>
  </si>
  <si>
    <r>
      <rPr>
        <sz val="12"/>
        <rFont val="Calibri"/>
        <charset val="1"/>
      </rPr>
      <t xml:space="preserve">List outside services beginning on row 53. </t>
    </r>
    <r>
      <rPr>
        <sz val="12"/>
        <color rgb="FF808080"/>
        <rFont val="Calibri"/>
        <charset val="1"/>
      </rPr>
      <t>Note that these costs are not automatically linked to Pages 4-9.</t>
    </r>
  </si>
  <si>
    <r>
      <rPr>
        <sz val="12"/>
        <rFont val="Calibri"/>
        <charset val="1"/>
      </rPr>
      <t xml:space="preserve">If you plan to apply for the Charter School Program grant please use </t>
    </r>
    <r>
      <rPr>
        <sz val="12"/>
        <color rgb="FFFF6600"/>
        <rFont val="Calibri"/>
        <charset val="1"/>
      </rPr>
      <t>Support-CDE start-up grant worksheet</t>
    </r>
    <r>
      <rPr>
        <sz val="12"/>
        <rFont val="Calibri"/>
        <charset val="1"/>
      </rPr>
      <t xml:space="preserve"> to plan grant spending.</t>
    </r>
  </si>
  <si>
    <t>Use column A to list expenditures (the expenditures listed are examples only).</t>
  </si>
  <si>
    <t>Use columns B through D to list corresponding dollars amounts for grant Years 1 though 3 (operating Years 0 through 2).</t>
  </si>
  <si>
    <r>
      <rPr>
        <sz val="12"/>
        <rFont val="Calibri"/>
        <charset val="1"/>
      </rPr>
      <t xml:space="preserve">Link individual Charter School Program grant revenue and expenditure cells to </t>
    </r>
    <r>
      <rPr>
        <sz val="12"/>
        <color rgb="FFFF6600"/>
        <rFont val="Calibri"/>
        <charset val="1"/>
      </rPr>
      <t xml:space="preserve">Page 4-Year 0 through Page 9-Year 5 </t>
    </r>
    <r>
      <rPr>
        <sz val="12"/>
        <rFont val="Calibri"/>
        <charset val="1"/>
      </rPr>
      <t>or manually input revenue and expenditures on these pages.</t>
    </r>
  </si>
  <si>
    <r>
      <rPr>
        <sz val="12"/>
        <rFont val="Calibri"/>
        <charset val="1"/>
      </rPr>
      <t xml:space="preserve">On </t>
    </r>
    <r>
      <rPr>
        <sz val="12"/>
        <color rgb="FFFF6600"/>
        <rFont val="Calibri"/>
        <charset val="1"/>
      </rPr>
      <t>Page 4-Year 0 through Page 9-Year 5</t>
    </r>
    <r>
      <rPr>
        <sz val="12"/>
        <rFont val="Calibri"/>
        <charset val="1"/>
      </rPr>
      <t>, many cells will be automatically populated from the inputs on Pages 1-3.</t>
    </r>
  </si>
  <si>
    <t>Fill in blank cells with additional revenue and expenditures.</t>
  </si>
  <si>
    <t>Be sure to include expenditures associated with other grant and foundation revenue in column C.</t>
  </si>
  <si>
    <t>Add notes and additional assumptions to column F.</t>
  </si>
  <si>
    <r>
      <rPr>
        <sz val="12"/>
        <color rgb="FFFF6600"/>
        <rFont val="Calibri"/>
        <charset val="1"/>
      </rPr>
      <t>Page 10-6 yr Budget-detail</t>
    </r>
    <r>
      <rPr>
        <sz val="12"/>
        <rFont val="Calibri"/>
        <charset val="1"/>
      </rPr>
      <t xml:space="preserve"> and </t>
    </r>
    <r>
      <rPr>
        <sz val="12"/>
        <color rgb="FFFF6600"/>
        <rFont val="Calibri"/>
        <charset val="1"/>
      </rPr>
      <t>Page 11-6 yr Budget Summary</t>
    </r>
    <r>
      <rPr>
        <sz val="12"/>
        <rFont val="Calibri"/>
        <charset val="1"/>
      </rPr>
      <t xml:space="preserve"> will populate automatically.</t>
    </r>
  </si>
  <si>
    <t>These worksheets are locked and cannot be modified.</t>
  </si>
  <si>
    <t>Carefully review the entire workbook to ensure accuracy and completeness.</t>
  </si>
  <si>
    <t xml:space="preserve">NOTES: </t>
  </si>
  <si>
    <t>All revenues and expenditures are listed with CDE Chart of Accounts source/object codes. For a full list of account codes and descriptions please see http://www.cde.state.co.us/cdefinance/sfcoa.</t>
  </si>
  <si>
    <t xml:space="preserve"> </t>
  </si>
  <si>
    <t xml:space="preserve">   ENTER LOGO HERE</t>
  </si>
  <si>
    <t>AUTHORIZER:  Charter School Institute</t>
  </si>
  <si>
    <t>DEVELOPER</t>
  </si>
  <si>
    <t>DATE</t>
  </si>
  <si>
    <t>ENROLLMENT PLAN</t>
  </si>
  <si>
    <t>ECE</t>
  </si>
  <si>
    <t>Total # students</t>
  </si>
  <si>
    <t>Total # funded*</t>
  </si>
  <si>
    <t>*does not include ECE</t>
  </si>
  <si>
    <t>STAFFING PLAN</t>
  </si>
  <si>
    <t>AVG Annual Salary</t>
  </si>
  <si>
    <t>INSTRUCTIONAL STAFF</t>
  </si>
  <si>
    <t xml:space="preserve">     Total Instructional Staff</t>
  </si>
  <si>
    <t>STIPENDS/ADDITIONAL PAY</t>
  </si>
  <si>
    <t xml:space="preserve">     Total Admin &amp; Support</t>
  </si>
  <si>
    <t>TOTAL SALARIES</t>
  </si>
  <si>
    <t>Note: may be overstated for multi-yr due to turnover/changes</t>
  </si>
  <si>
    <t>increase/yr</t>
  </si>
  <si>
    <t>Total # Teachers</t>
  </si>
  <si>
    <t>Total # Admin &amp; Support</t>
  </si>
  <si>
    <t>Total Staff</t>
  </si>
  <si>
    <t>Student/teacher ratio</t>
  </si>
  <si>
    <t>Student/staff ratio</t>
  </si>
  <si>
    <t>Total Instructional</t>
  </si>
  <si>
    <t>Total Admin</t>
  </si>
  <si>
    <t>Variance</t>
  </si>
  <si>
    <t>ASSUMPTIONS</t>
  </si>
  <si>
    <t>REVENUE</t>
  </si>
  <si>
    <t>Recommendations</t>
  </si>
  <si>
    <t>Units (what to enter)</t>
  </si>
  <si>
    <t>Notes</t>
  </si>
  <si>
    <t>5710 · Per pupil funding (100%)</t>
  </si>
  <si>
    <t>Per funded pupil count</t>
  </si>
  <si>
    <t>Enter Geographic District PPR in each cell, plus change assumptions. 
See past year PPR funding information for geographical district here: http://www.cde.state.co.us/cdefinance/sfdetails</t>
  </si>
  <si>
    <t>5810 · CPP Funding</t>
  </si>
  <si>
    <t xml:space="preserve">50% PPR </t>
  </si>
  <si>
    <t>Per CPP Slot</t>
  </si>
  <si>
    <t>Auto Calc</t>
  </si>
  <si>
    <t>CPP Slots Requested</t>
  </si>
  <si>
    <t>Number of CPP slots requested</t>
  </si>
  <si>
    <t>3113 · Capital construction - Per Pupil</t>
  </si>
  <si>
    <t>3130 · ECEA</t>
  </si>
  <si>
    <t>per elible sped student</t>
  </si>
  <si>
    <t>Total Estimated Annual Funding, based on PY pupil count 
Expected 2% decrease annually</t>
  </si>
  <si>
    <t>ECEA/IDEA Eligible Student Count</t>
  </si>
  <si>
    <t>Number of estimated eligible SPED Students</t>
  </si>
  <si>
    <t>3140 · English Language Proficiency Act (ELPA)</t>
  </si>
  <si>
    <t>Per ELL Pupil</t>
  </si>
  <si>
    <t>NOT ELIGIBLE IN YEAR 1
$134.20 NEP/LEP; $102.7 per FEP
Total Estimated Annual Funding, based on PY pupil count; Expected 2% decrease annually</t>
  </si>
  <si>
    <t>Projected ELL %</t>
  </si>
  <si>
    <t>Projected ELL students as % of total Students</t>
  </si>
  <si>
    <t>Projected ELL Students</t>
  </si>
  <si>
    <t>3150 · Gifted &amp; Talented</t>
  </si>
  <si>
    <t>per pupil</t>
  </si>
  <si>
    <t>$500 + $150.00 - Eligible pupil
Total Estimated Annual Funding, based on PY pupil count 
Expected 2% decrease annually</t>
  </si>
  <si>
    <t>Projected GT Students</t>
  </si>
  <si>
    <t>3206 - READ Act</t>
  </si>
  <si>
    <t>Per SRD pupil</t>
  </si>
  <si>
    <t>NOT ELIGIBLE IN YEAR 1
$800 per eligible SRD Pupil</t>
  </si>
  <si>
    <t>Projected SRD Pupils</t>
  </si>
  <si>
    <t>Number of Estimated SRD Pupils</t>
  </si>
  <si>
    <t>4010 · Title I</t>
  </si>
  <si>
    <t>Per FRL pupil</t>
  </si>
  <si>
    <t>4027 · IDEA</t>
  </si>
  <si>
    <t>Per eligible SPED student</t>
  </si>
  <si>
    <t>4365 · Title III</t>
  </si>
  <si>
    <t>NOT ELIGIBLE IN YEAR 1
$55.91 NEP/LEP; $42.84 per FEP
Total Estimated Annual Funding, based on PY pupil count 
Expected 2% decrease annually</t>
  </si>
  <si>
    <t>Projected FRL %</t>
  </si>
  <si>
    <t>N/A</t>
  </si>
  <si>
    <t>Projected Free and Reduced Lunch Rate</t>
  </si>
  <si>
    <t>Projected K-12 FRL Students</t>
  </si>
  <si>
    <t>Preschool tuition (annual)</t>
  </si>
  <si>
    <t>Estimated Annual tuition</t>
  </si>
  <si>
    <t>EXPENSE</t>
  </si>
  <si>
    <t>CSI Admin expense</t>
  </si>
  <si>
    <t>CDE Admin expense</t>
  </si>
  <si>
    <t>PERA-based on calendar yr</t>
  </si>
  <si>
    <t>Social Security</t>
  </si>
  <si>
    <t>Medicare</t>
  </si>
  <si>
    <t>State Unemployment</t>
  </si>
  <si>
    <t>Assumes filing w/DOL as political subdivision (100% of wages)</t>
  </si>
  <si>
    <t>Insurance</t>
  </si>
  <si>
    <t>Total Insurance Premiums</t>
  </si>
  <si>
    <t xml:space="preserve">Minimum insurance requirements are as follows: Comprehensive general liability - $2,000,000; Officers, directors and employees errors and omissions - $1,000,000; Property - as required by landlord; </t>
  </si>
  <si>
    <t>Motor vehicle liability (if applicable) - $1,000,000; Worker's compensation - as required by law.</t>
  </si>
  <si>
    <t>INDIVIDUAL EXPENSE DRIVERS</t>
  </si>
  <si>
    <t>$/unit</t>
  </si>
  <si>
    <t>unit</t>
  </si>
  <si>
    <t>Temp employees (substitutes)</t>
  </si>
  <si>
    <t>per absence</t>
  </si>
  <si>
    <t xml:space="preserve">    # days personal days per employee</t>
  </si>
  <si>
    <t>annual</t>
  </si>
  <si>
    <t>Health plan cost</t>
  </si>
  <si>
    <t>annual/per EE</t>
  </si>
  <si>
    <t>Assume 5k with 80% participation</t>
  </si>
  <si>
    <t>Dental plan cost</t>
  </si>
  <si>
    <t>Other Employee benefits</t>
  </si>
  <si>
    <t>Travel/Reg/Entrance (Prof Dev for staff)</t>
  </si>
  <si>
    <t>Banking &amp; Payroll fees</t>
  </si>
  <si>
    <t>employee</t>
  </si>
  <si>
    <t>Assessments</t>
  </si>
  <si>
    <t>student</t>
  </si>
  <si>
    <t>Rental of building or land</t>
  </si>
  <si>
    <t>Equipment rentals - postal machine</t>
  </si>
  <si>
    <t>Equipment rentals - copier</t>
  </si>
  <si>
    <t>Postage</t>
  </si>
  <si>
    <t>Advertising/Marketing/Recruiting</t>
  </si>
  <si>
    <t>General + Janitorial supplies</t>
  </si>
  <si>
    <t>Office supplies</t>
  </si>
  <si>
    <t>Food &amp; Meeting supplies</t>
  </si>
  <si>
    <t>Dues and fees</t>
  </si>
  <si>
    <t>Transportation/Field Trips</t>
  </si>
  <si>
    <t>Professional Ed Services</t>
  </si>
  <si>
    <t>TOTAL</t>
  </si>
  <si>
    <r>
      <rPr>
        <sz val="8"/>
        <color rgb="FF000000"/>
        <rFont val="Calibri"/>
        <charset val="1"/>
      </rPr>
      <t xml:space="preserve"> </t>
    </r>
    <r>
      <rPr>
        <sz val="8"/>
        <color rgb="FF0066CC"/>
        <rFont val="Calibri"/>
        <charset val="1"/>
      </rPr>
      <t xml:space="preserve"> blue font = hard keyed</t>
    </r>
    <r>
      <rPr>
        <sz val="8"/>
        <color rgb="FF000000"/>
        <rFont val="Calibri"/>
        <charset val="1"/>
      </rPr>
      <t>, black font = formula driven</t>
    </r>
  </si>
  <si>
    <t>NOTES</t>
  </si>
  <si>
    <t>General Operating</t>
  </si>
  <si>
    <t>Grant Fund</t>
  </si>
  <si>
    <t>Grant Fund CDE CSP</t>
  </si>
  <si>
    <t>Physical Pupil Count</t>
  </si>
  <si>
    <t>Funded Pupil Count</t>
  </si>
  <si>
    <t>1000 · Foundation revenue</t>
  </si>
  <si>
    <t>1300A · Preschool tuition revenue</t>
  </si>
  <si>
    <t>1510 · Interest on investments</t>
  </si>
  <si>
    <t>1600 · Food service revenue</t>
  </si>
  <si>
    <t>1700 · Pupil activities</t>
  </si>
  <si>
    <t>1740 · Fees</t>
  </si>
  <si>
    <t>1920 · Contributions and donations</t>
  </si>
  <si>
    <t>3113 · Capital construction</t>
  </si>
  <si>
    <t>3130 · Exceptional Children's Ed Act (ECEA)</t>
  </si>
  <si>
    <t>3140 · English language proficiency act (ELPA)</t>
  </si>
  <si>
    <t>3161 · State child nutrition reimb</t>
  </si>
  <si>
    <t>4027 · Special Ed (IDEA)</t>
  </si>
  <si>
    <t>4555 · Fed lunch reimb</t>
  </si>
  <si>
    <t>5282 · Charter school grant</t>
  </si>
  <si>
    <t>5810 · CPP funding</t>
  </si>
  <si>
    <t>TOTAL REVENUE</t>
  </si>
  <si>
    <t>0100 · Salaries of Regular Employees</t>
  </si>
  <si>
    <t>0120 · Salaries of temporary employees</t>
  </si>
  <si>
    <t>0221 · Medicare</t>
  </si>
  <si>
    <t>0222 · Social security</t>
  </si>
  <si>
    <t>0230 · PERA expense</t>
  </si>
  <si>
    <t>0250 · Health insurance</t>
  </si>
  <si>
    <t>0251 · Dental insurance</t>
  </si>
  <si>
    <t>0290 · Other Employee Benefits</t>
  </si>
  <si>
    <t>0300 · Prof services-food svcs</t>
  </si>
  <si>
    <t>0313 · Banking &amp; Payroll Service Fees</t>
  </si>
  <si>
    <t>0320 · Professional-education services</t>
  </si>
  <si>
    <t>0300A · Other Services - Assessments</t>
  </si>
  <si>
    <t>0331 · Legal services</t>
  </si>
  <si>
    <t>0332 · Audit &amp; accounting services</t>
  </si>
  <si>
    <t>0334 · Consultant services</t>
  </si>
  <si>
    <t>0340 · Technical services</t>
  </si>
  <si>
    <t>0410 · Utility expenses</t>
  </si>
  <si>
    <t>0423 · Custodial services</t>
  </si>
  <si>
    <t>0430 · Repairs and maintenance service</t>
  </si>
  <si>
    <t>0441 · Rental of land and buildings</t>
  </si>
  <si>
    <t>0442 · Rental of Equipment</t>
  </si>
  <si>
    <t>0520 · Insurance</t>
  </si>
  <si>
    <t>0525 · Unemployment insurance</t>
  </si>
  <si>
    <t>0526 · Workers' Comp insurance</t>
  </si>
  <si>
    <t>0531 · Telephone/fax</t>
  </si>
  <si>
    <t>0533 · Postage</t>
  </si>
  <si>
    <t>0540 · Advertising, Marketing &amp; Recruiting</t>
  </si>
  <si>
    <t>0580 · Travel, registration, entrance</t>
  </si>
  <si>
    <t>0595A · CSI Admin expense</t>
  </si>
  <si>
    <t>0595B · CDE Admin expense</t>
  </si>
  <si>
    <t>0610 · General supplies</t>
  </si>
  <si>
    <t>0611 · Office supplies</t>
  </si>
  <si>
    <t>0630 · Food &amp; meeting expenses</t>
  </si>
  <si>
    <t>0640 · Books and periodicals</t>
  </si>
  <si>
    <t>0650 · Electronic media materials</t>
  </si>
  <si>
    <t>0721 · Leasehold improvements</t>
  </si>
  <si>
    <t>0733 · Furniture and fixtures</t>
  </si>
  <si>
    <t>0735 · Non-capital equipment</t>
  </si>
  <si>
    <t>0810 · Dues and fees</t>
  </si>
  <si>
    <t>0840 · Contingency</t>
  </si>
  <si>
    <t>0851 · Transportation/field trips</t>
  </si>
  <si>
    <t>0890 · Miscellaneous expenditures</t>
  </si>
  <si>
    <t>TOTAL EXPENSE</t>
  </si>
  <si>
    <t>NET OPERATING INCOME</t>
  </si>
  <si>
    <t>OTHER SOURCES/USES OF FUNDS</t>
  </si>
  <si>
    <t>SURPLUS/(SHORTFALL)</t>
  </si>
  <si>
    <t>Beginning Fund Balance</t>
  </si>
  <si>
    <t>Ending Fund Balance</t>
  </si>
  <si>
    <t>`</t>
  </si>
  <si>
    <t>Yearly audit + Accountant / CPA consulting</t>
  </si>
  <si>
    <t>Water / Sewage / Disposal / Gas / Electric</t>
  </si>
  <si>
    <t>OTHER SOURCES/(USES) OF FUNDS</t>
  </si>
  <si>
    <t>0120 · Salaries of temporary employees-subs</t>
  </si>
  <si>
    <t>6 YEAR BUDGET-Detail</t>
  </si>
  <si>
    <t>0410 · Utility services</t>
  </si>
  <si>
    <t>Total Instructional Expenses</t>
  </si>
  <si>
    <t xml:space="preserve">   % of Total Expenses</t>
  </si>
  <si>
    <t>Total Non-Instructional Expenses</t>
  </si>
  <si>
    <t>Salary %</t>
  </si>
  <si>
    <t>Total variances</t>
  </si>
  <si>
    <t>Facility Costs</t>
  </si>
  <si>
    <t>% of Total Expenses</t>
  </si>
  <si>
    <t>6 YEAR BUDGET-Summary</t>
  </si>
  <si>
    <t>Per Pupil Revenue</t>
  </si>
  <si>
    <t>CPP Revenue</t>
  </si>
  <si>
    <t>Tuition Revenue</t>
  </si>
  <si>
    <t>State Funding  Sources</t>
  </si>
  <si>
    <t>Federal Funding  Sources</t>
  </si>
  <si>
    <t>Grants/Contributions/Fundraising</t>
  </si>
  <si>
    <t>Interest Income</t>
  </si>
  <si>
    <t>Activities &amp; Student Fees</t>
  </si>
  <si>
    <t>Salaries and Benefits</t>
  </si>
  <si>
    <t>Authorizer Services</t>
  </si>
  <si>
    <t>Purchased Services (w/o Bldg Costs)</t>
  </si>
  <si>
    <t>Utilities &amp; Building Expenses</t>
  </si>
  <si>
    <t>Rental - Land/Building</t>
  </si>
  <si>
    <t>Student Activities</t>
  </si>
  <si>
    <t>Supplies and Materials</t>
  </si>
  <si>
    <t>Books, Periodicals, &amp; Software</t>
  </si>
  <si>
    <t>Non-capital equipment</t>
  </si>
  <si>
    <t>Furniture and fixtures</t>
  </si>
  <si>
    <t>Contingency</t>
  </si>
  <si>
    <t>Other Expenditures</t>
  </si>
  <si>
    <t>CDE START-UP GRANT</t>
  </si>
  <si>
    <t>Sample Expenditures</t>
  </si>
  <si>
    <t>Salary - Ex. Director (3 months)</t>
  </si>
  <si>
    <t>Benefits - Ex. Director (3 months)</t>
  </si>
  <si>
    <t>Salary - Office Manager (3 months)</t>
  </si>
  <si>
    <t>Benefits - Office Manager (3 months)</t>
  </si>
  <si>
    <t>Financial Consultant (establishing financial systems)</t>
  </si>
  <si>
    <t>Legal Services</t>
  </si>
  <si>
    <t>IT services (establishing infrastructure)</t>
  </si>
  <si>
    <t>Marketing/Advertising - student &amp; staff recruitment (ads+events)</t>
  </si>
  <si>
    <t>Professional Development</t>
  </si>
  <si>
    <t>Curriculum</t>
  </si>
  <si>
    <t>Staff furniture</t>
  </si>
  <si>
    <t>Student furniture</t>
  </si>
  <si>
    <t>Bookshelves + Tables</t>
  </si>
  <si>
    <t>Staff laptops</t>
  </si>
  <si>
    <t>Student laptops</t>
  </si>
  <si>
    <t>Server + network peripherals</t>
  </si>
  <si>
    <t>CSSP visit / review</t>
  </si>
  <si>
    <t>Balance of funds</t>
  </si>
  <si>
    <t>Example: Teachers</t>
  </si>
  <si>
    <t>Notes:  Enter position title, # of positions, average salary, increase/yr</t>
  </si>
  <si>
    <t>4367 - Title II</t>
  </si>
  <si>
    <t>Per FRL Pupil</t>
  </si>
  <si>
    <t>The higher of $1,500 or $62.11*FRL count</t>
  </si>
  <si>
    <t>for schools with FRL 35% or above</t>
  </si>
  <si>
    <t>4367 · Title II</t>
  </si>
  <si>
    <t>Year 0</t>
  </si>
  <si>
    <t>Year 1</t>
  </si>
  <si>
    <t>Year 2</t>
  </si>
  <si>
    <t xml:space="preserve">All cells on pages 1 -3 highlighted in yellow should be populated. All cells with black text are formula driven and populate automatically. </t>
  </si>
  <si>
    <t xml:space="preserve">Many cells on pages 4-9 are formula driven and populate automatically based on information entered into pages 1-3  </t>
  </si>
  <si>
    <r>
      <t xml:space="preserve">On </t>
    </r>
    <r>
      <rPr>
        <sz val="12"/>
        <color rgb="FFFF6600"/>
        <rFont val="Calibri"/>
        <charset val="1"/>
      </rPr>
      <t>Page 3-Assumptions</t>
    </r>
    <r>
      <rPr>
        <sz val="12"/>
        <rFont val="Calibri"/>
        <charset val="1"/>
      </rPr>
      <t>, fill in yellow cells located from B5 to G34, and B38 to B55</t>
    </r>
  </si>
  <si>
    <t>All cells on pages 10-11 are formula driven and populate automatically.</t>
  </si>
  <si>
    <t>3241-Mill Levy Equalization Funds</t>
  </si>
  <si>
    <t>As of FY 2018-19, allocation is estimated at $311.47 per funded pupil count. Subject to change each year.</t>
  </si>
  <si>
    <t>Projected Number of Full-Time Students Per Year</t>
  </si>
  <si>
    <t>Projected Number of Part-Time Students Per Year</t>
  </si>
  <si>
    <t>KG</t>
  </si>
  <si>
    <t>Only CSP revenue that has already been awarded should be included.</t>
  </si>
  <si>
    <t>Restricted or assigned</t>
  </si>
  <si>
    <t>Unrestricted/Unassigned</t>
  </si>
  <si>
    <t>Unrestricted/Unassigned Fund Balance as % of Total Expenses</t>
  </si>
  <si>
    <t>NOT ELIGIBLE IN YEAR 1
Colorado Preschool Project Slots the school is planning on requesting</t>
  </si>
  <si>
    <t xml:space="preserve">Enter Per Pupil amount for Cap Construction each year. 
Expected to decrease annually by 1%
(FPC) </t>
  </si>
  <si>
    <t>Only foundation revenue that has already been secured should be included. Documentation to verify committed revenue should be submitted with the application.</t>
  </si>
  <si>
    <t>TABOR and SPED reserves. TABOR = 3% of state revenue, SPED Reserve = $100 per pupil</t>
  </si>
  <si>
    <t>Admin/Support/SPED</t>
  </si>
  <si>
    <t>Example: ADMIN: Principal</t>
  </si>
  <si>
    <t>Example: SUPPORT: Office Manager</t>
  </si>
  <si>
    <t>Example: SPED: Speech Path</t>
  </si>
  <si>
    <t>SPED Reserve</t>
  </si>
  <si>
    <t>TABOR Reserve</t>
  </si>
  <si>
    <t>Other restricted or assigned reserves</t>
  </si>
  <si>
    <t>Total restricted or assigned reserves</t>
  </si>
  <si>
    <t>This must include TABOR and SPED reserve requirements</t>
  </si>
  <si>
    <t>3 YEAR BUDGET PROPOSAL</t>
  </si>
  <si>
    <t>FY 2020-21 Estimate</t>
  </si>
  <si>
    <t>FY 2021 -22</t>
  </si>
  <si>
    <t>FY 2022-23</t>
  </si>
  <si>
    <t>FY 2023-24</t>
  </si>
  <si>
    <t xml:space="preserve">Note: Recommended staffing ratios for SPED providers per SPED enrollment, based on mild to moderate need students*: </t>
  </si>
  <si>
    <t>SPED Teacher: 1:15 (elementary); 1:20 (Middle and High)</t>
  </si>
  <si>
    <t>Speech Path: 1:40</t>
  </si>
  <si>
    <r>
      <t>Nurse</t>
    </r>
    <r>
      <rPr>
        <sz val="10"/>
        <color rgb="FFFF0000"/>
        <rFont val="Calibri"/>
        <family val="2"/>
      </rPr>
      <t>**</t>
    </r>
    <r>
      <rPr>
        <sz val="10"/>
        <rFont val="Calibri"/>
        <family val="2"/>
      </rPr>
      <t>: 1:75</t>
    </r>
  </si>
  <si>
    <t>Occupational Therapist and Physical Therapist: 1:40</t>
  </si>
  <si>
    <t>Early Childhood SPED: 1:30 early childhood students</t>
  </si>
  <si>
    <t>Psych: 1:40</t>
  </si>
  <si>
    <t xml:space="preserve">Counselor***: 1 for elementary, 1.2 for Middle school, 1.8 for high school </t>
  </si>
  <si>
    <t xml:space="preserve">*These are recommended ratios for estimating, and actual SPED staffing levels will need to change based on the needs of students actually enrolled.
**The nurse ratio does not include evaluation services for SPED eligibility.
***The counselor ratio is not based on enrollment or SPED enrollment, but rather serves the entire school. This may need to be adjusted depending on the size of the school.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</si>
</sst>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164" formatCode="mmmm\ d&quot;, &quot;yyyy"/>
    <numFmt numFmtId="165" formatCode="\$#,##0_);&quot;($&quot;#,##0\)"/>
    <numFmt numFmtId="166" formatCode="0.0"/>
    <numFmt numFmtId="167" formatCode="_(\$* #,##0_);_(\$* \(#,##0\);_(\$* \-_);_(@_)"/>
    <numFmt numFmtId="168" formatCode="_(\$* #,##0.00_);_(\$* \(#,##0.00\);_(\$* \-??_);_(@_)"/>
    <numFmt numFmtId="169" formatCode="_(\$* #,##0_);_(\$* \(#,##0\);_(\$* \-??_);_(@_)"/>
    <numFmt numFmtId="170" formatCode="\$#,##0.00"/>
    <numFmt numFmtId="171" formatCode="\$#,##0_);[Red]&quot;($&quot;#,##0\)"/>
    <numFmt numFmtId="172" formatCode="_(* #,##0_);_(* \(#,##0\);_(* \-_);_(@_)"/>
    <numFmt numFmtId="173" formatCode="_(* #,##0.00_);_(* \(#,##0.00\);_(* \-??_);_(@_)"/>
    <numFmt numFmtId="174" formatCode="\$#,##0.00_);[Red]&quot;($&quot;#,##0.00\)"/>
    <numFmt numFmtId="175" formatCode="_(* #,##0_);_(* \(#,##0\);_(* \-??_);_(@_)"/>
    <numFmt numFmtId="176" formatCode="#,##0.0_);\(#,##0.0\)"/>
  </numFmts>
  <fonts count="55" x14ac:knownFonts="1">
    <font>
      <sz val="10"/>
      <color rgb="FF000000"/>
      <name val="Arial"/>
      <charset val="1"/>
    </font>
    <font>
      <b/>
      <sz val="10"/>
      <name val="Calibri"/>
      <charset val="1"/>
    </font>
    <font>
      <sz val="10"/>
      <name val="Calibri"/>
      <charset val="1"/>
    </font>
    <font>
      <b/>
      <sz val="20"/>
      <name val="Calibri"/>
      <charset val="1"/>
    </font>
    <font>
      <b/>
      <sz val="12"/>
      <name val="Calibri"/>
      <charset val="1"/>
    </font>
    <font>
      <sz val="12"/>
      <name val="Calibri"/>
      <charset val="1"/>
    </font>
    <font>
      <sz val="12"/>
      <color rgb="FFFF6600"/>
      <name val="Calibri"/>
      <charset val="1"/>
    </font>
    <font>
      <sz val="12"/>
      <color rgb="FF808080"/>
      <name val="Calibri"/>
      <charset val="1"/>
    </font>
    <font>
      <sz val="10"/>
      <color rgb="FF7030A0"/>
      <name val="Calibri"/>
      <charset val="1"/>
    </font>
    <font>
      <b/>
      <sz val="12"/>
      <color rgb="FF7030A0"/>
      <name val="Calibri"/>
      <charset val="1"/>
    </font>
    <font>
      <sz val="12"/>
      <color rgb="FF0070C0"/>
      <name val="Calibri"/>
      <charset val="1"/>
    </font>
    <font>
      <sz val="36"/>
      <color rgb="FF0070C0"/>
      <name val="Calibri"/>
      <charset val="1"/>
    </font>
    <font>
      <sz val="22"/>
      <name val="Calibri"/>
      <charset val="1"/>
    </font>
    <font>
      <sz val="18"/>
      <name val="Calibri"/>
      <charset val="1"/>
    </font>
    <font>
      <u/>
      <sz val="18"/>
      <name val="Calibri"/>
      <charset val="1"/>
    </font>
    <font>
      <i/>
      <sz val="14"/>
      <color rgb="FF0070C0"/>
      <name val="Calibri"/>
      <charset val="1"/>
    </font>
    <font>
      <sz val="14"/>
      <name val="Calibri"/>
      <charset val="1"/>
    </font>
    <font>
      <b/>
      <sz val="14"/>
      <name val="Calibri"/>
      <charset val="1"/>
    </font>
    <font>
      <sz val="10"/>
      <color rgb="FF0070C0"/>
      <name val="Calibri"/>
      <charset val="1"/>
    </font>
    <font>
      <sz val="10"/>
      <color rgb="FFFF0000"/>
      <name val="Calibri"/>
      <charset val="1"/>
    </font>
    <font>
      <sz val="10"/>
      <name val="Arial"/>
      <charset val="1"/>
    </font>
    <font>
      <b/>
      <i/>
      <sz val="8"/>
      <name val="Calibri"/>
      <charset val="1"/>
    </font>
    <font>
      <sz val="9"/>
      <name val="Calibri"/>
      <charset val="1"/>
    </font>
    <font>
      <b/>
      <sz val="10"/>
      <color rgb="FFFFFFFF"/>
      <name val="Calibri"/>
      <charset val="1"/>
    </font>
    <font>
      <b/>
      <sz val="10"/>
      <color rgb="FFFF0000"/>
      <name val="Calibri"/>
      <charset val="1"/>
    </font>
    <font>
      <sz val="10"/>
      <color rgb="FFFFFFFF"/>
      <name val="Calibri"/>
      <charset val="1"/>
    </font>
    <font>
      <sz val="10"/>
      <color rgb="FF0066CC"/>
      <name val="Calibri"/>
      <charset val="1"/>
    </font>
    <font>
      <b/>
      <i/>
      <sz val="10"/>
      <name val="Calibri"/>
      <charset val="1"/>
    </font>
    <font>
      <i/>
      <sz val="10"/>
      <name val="Calibri"/>
      <charset val="1"/>
    </font>
    <font>
      <sz val="10"/>
      <color rgb="FFF79646"/>
      <name val="Calibri"/>
      <charset val="1"/>
    </font>
    <font>
      <b/>
      <sz val="10"/>
      <color rgb="FF0070C0"/>
      <name val="Calibri"/>
      <charset val="1"/>
    </font>
    <font>
      <sz val="10"/>
      <color rgb="FF000000"/>
      <name val="Calibri"/>
      <charset val="1"/>
    </font>
    <font>
      <sz val="10"/>
      <color rgb="FF558ED5"/>
      <name val="Calibri"/>
      <charset val="1"/>
    </font>
    <font>
      <b/>
      <sz val="10"/>
      <color rgb="FF000000"/>
      <name val="Calibri"/>
      <charset val="1"/>
    </font>
    <font>
      <sz val="10"/>
      <color rgb="FF008000"/>
      <name val="Calibri"/>
      <charset val="1"/>
    </font>
    <font>
      <sz val="8"/>
      <color rgb="FF000000"/>
      <name val="Calibri"/>
      <charset val="1"/>
    </font>
    <font>
      <sz val="8"/>
      <color rgb="FF0066CC"/>
      <name val="Calibri"/>
      <charset val="1"/>
    </font>
    <font>
      <sz val="8"/>
      <name val="Calibri"/>
      <charset val="1"/>
    </font>
    <font>
      <b/>
      <sz val="8"/>
      <name val="Calibri"/>
      <charset val="1"/>
    </font>
    <font>
      <b/>
      <sz val="11"/>
      <color rgb="FF000000"/>
      <name val="Calibri"/>
      <charset val="1"/>
    </font>
    <font>
      <sz val="11"/>
      <name val="Calibri"/>
      <charset val="1"/>
    </font>
    <font>
      <b/>
      <sz val="11"/>
      <name val="Calibri"/>
      <charset val="1"/>
    </font>
    <font>
      <b/>
      <i/>
      <sz val="9"/>
      <name val="Calibri"/>
      <charset val="1"/>
    </font>
    <font>
      <b/>
      <sz val="8"/>
      <color rgb="FF000000"/>
      <name val="Calibri"/>
      <charset val="1"/>
    </font>
    <font>
      <i/>
      <sz val="8"/>
      <name val="Calibri"/>
      <charset val="1"/>
    </font>
    <font>
      <sz val="10"/>
      <color rgb="FF00B050"/>
      <name val="Calibri"/>
      <charset val="1"/>
    </font>
    <font>
      <sz val="8"/>
      <name val="Arial"/>
      <charset val="1"/>
    </font>
    <font>
      <sz val="10"/>
      <name val="Calibri"/>
      <family val="2"/>
    </font>
    <font>
      <b/>
      <sz val="10"/>
      <name val="Calibri"/>
      <family val="2"/>
    </font>
    <font>
      <sz val="8"/>
      <color rgb="FFFF0000"/>
      <name val="Calibri"/>
      <family val="2"/>
    </font>
    <font>
      <sz val="9"/>
      <color rgb="FFFF0000"/>
      <name val="Arial"/>
      <family val="2"/>
    </font>
    <font>
      <i/>
      <sz val="10"/>
      <color rgb="FFFF0000"/>
      <name val="Calibri"/>
      <family val="2"/>
    </font>
    <font>
      <b/>
      <i/>
      <sz val="10"/>
      <name val="Calibri"/>
      <family val="2"/>
    </font>
    <font>
      <sz val="10"/>
      <color rgb="FFFF0000"/>
      <name val="Calibri"/>
      <family val="2"/>
    </font>
    <font>
      <sz val="10"/>
      <color rgb="FF000000"/>
      <name val="Arial"/>
      <charset val="1"/>
    </font>
  </fonts>
  <fills count="12">
    <fill>
      <patternFill patternType="none"/>
    </fill>
    <fill>
      <patternFill patternType="gray125"/>
    </fill>
    <fill>
      <patternFill patternType="solid">
        <fgColor rgb="FFD7E4BD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333333"/>
        <bgColor rgb="FF333300"/>
      </patternFill>
    </fill>
    <fill>
      <patternFill patternType="solid">
        <fgColor rgb="FF969696"/>
        <bgColor rgb="FF808080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0C0C0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20" fillId="0" borderId="0" applyBorder="0" applyProtection="0"/>
    <xf numFmtId="44" fontId="54" fillId="0" borderId="0" applyFont="0" applyFill="0" applyBorder="0" applyAlignment="0" applyProtection="0"/>
  </cellStyleXfs>
  <cellXfs count="34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10" fillId="2" borderId="0" xfId="0" applyFont="1" applyFill="1" applyBorder="1" applyAlignment="1"/>
    <xf numFmtId="14" fontId="2" fillId="2" borderId="0" xfId="0" applyNumberFormat="1" applyFont="1" applyFill="1" applyBorder="1" applyAlignment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2" fillId="3" borderId="6" xfId="0" applyFont="1" applyFill="1" applyBorder="1" applyAlignment="1"/>
    <xf numFmtId="10" fontId="20" fillId="0" borderId="0" xfId="1" applyNumberFormat="1" applyBorder="1" applyAlignment="1" applyProtection="1"/>
    <xf numFmtId="0" fontId="1" fillId="3" borderId="4" xfId="0" applyFont="1" applyFill="1" applyBorder="1" applyAlignment="1">
      <alignment horizontal="left"/>
    </xf>
    <xf numFmtId="0" fontId="2" fillId="3" borderId="0" xfId="0" applyFont="1" applyFill="1" applyBorder="1" applyAlignment="1"/>
    <xf numFmtId="3" fontId="2" fillId="3" borderId="5" xfId="0" applyNumberFormat="1" applyFont="1" applyFill="1" applyBorder="1" applyAlignment="1"/>
    <xf numFmtId="0" fontId="21" fillId="3" borderId="9" xfId="0" applyFont="1" applyFill="1" applyBorder="1" applyAlignment="1">
      <alignment horizontal="center"/>
    </xf>
    <xf numFmtId="0" fontId="2" fillId="3" borderId="10" xfId="0" applyFont="1" applyFill="1" applyBorder="1" applyAlignment="1"/>
    <xf numFmtId="0" fontId="2" fillId="3" borderId="11" xfId="0" applyFont="1" applyFill="1" applyBorder="1" applyAlignment="1"/>
    <xf numFmtId="0" fontId="17" fillId="0" borderId="0" xfId="0" applyFont="1" applyAlignment="1"/>
    <xf numFmtId="0" fontId="18" fillId="0" borderId="0" xfId="0" applyFont="1" applyAlignment="1"/>
    <xf numFmtId="0" fontId="1" fillId="0" borderId="12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3" fillId="5" borderId="5" xfId="0" applyFont="1" applyFill="1" applyBorder="1" applyAlignment="1"/>
    <xf numFmtId="37" fontId="23" fillId="5" borderId="5" xfId="0" applyNumberFormat="1" applyFont="1" applyFill="1" applyBorder="1" applyAlignment="1">
      <alignment horizontal="center"/>
    </xf>
    <xf numFmtId="3" fontId="23" fillId="5" borderId="5" xfId="0" applyNumberFormat="1" applyFont="1" applyFill="1" applyBorder="1" applyAlignment="1">
      <alignment horizontal="center"/>
    </xf>
    <xf numFmtId="0" fontId="2" fillId="3" borderId="4" xfId="0" applyFont="1" applyFill="1" applyBorder="1" applyAlignment="1"/>
    <xf numFmtId="0" fontId="1" fillId="3" borderId="0" xfId="0" applyFont="1" applyFill="1" applyBorder="1" applyAlignment="1"/>
    <xf numFmtId="165" fontId="2" fillId="3" borderId="6" xfId="0" applyNumberFormat="1" applyFont="1" applyFill="1" applyBorder="1" applyAlignment="1"/>
    <xf numFmtId="0" fontId="24" fillId="3" borderId="0" xfId="0" applyFont="1" applyFill="1" applyBorder="1" applyAlignment="1"/>
    <xf numFmtId="0" fontId="1" fillId="3" borderId="5" xfId="0" applyFont="1" applyFill="1" applyBorder="1" applyAlignment="1"/>
    <xf numFmtId="166" fontId="1" fillId="3" borderId="5" xfId="0" applyNumberFormat="1" applyFont="1" applyFill="1" applyBorder="1" applyAlignment="1">
      <alignment horizontal="center"/>
    </xf>
    <xf numFmtId="165" fontId="2" fillId="3" borderId="0" xfId="0" applyNumberFormat="1" applyFont="1" applyFill="1" applyBorder="1" applyAlignment="1"/>
    <xf numFmtId="0" fontId="2" fillId="0" borderId="15" xfId="0" applyFont="1" applyBorder="1" applyAlignment="1"/>
    <xf numFmtId="0" fontId="1" fillId="3" borderId="4" xfId="0" applyFont="1" applyFill="1" applyBorder="1" applyAlignment="1"/>
    <xf numFmtId="165" fontId="1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0" fontId="25" fillId="5" borderId="12" xfId="0" applyFont="1" applyFill="1" applyBorder="1" applyAlignment="1"/>
    <xf numFmtId="1" fontId="25" fillId="5" borderId="12" xfId="0" applyNumberFormat="1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/>
    </xf>
    <xf numFmtId="0" fontId="25" fillId="5" borderId="5" xfId="0" applyFont="1" applyFill="1" applyBorder="1" applyAlignment="1">
      <alignment horizontal="center"/>
    </xf>
    <xf numFmtId="0" fontId="1" fillId="3" borderId="12" xfId="0" applyFont="1" applyFill="1" applyBorder="1" applyAlignment="1"/>
    <xf numFmtId="165" fontId="2" fillId="0" borderId="0" xfId="0" applyNumberFormat="1" applyFont="1" applyAlignment="1"/>
    <xf numFmtId="167" fontId="1" fillId="6" borderId="5" xfId="0" applyNumberFormat="1" applyFont="1" applyFill="1" applyBorder="1" applyAlignment="1"/>
    <xf numFmtId="0" fontId="1" fillId="3" borderId="6" xfId="0" applyFont="1" applyFill="1" applyBorder="1" applyAlignment="1"/>
    <xf numFmtId="0" fontId="27" fillId="0" borderId="0" xfId="0" applyFont="1" applyAlignment="1"/>
    <xf numFmtId="1" fontId="2" fillId="3" borderId="0" xfId="0" applyNumberFormat="1" applyFont="1" applyFill="1" applyBorder="1" applyAlignment="1"/>
    <xf numFmtId="2" fontId="2" fillId="3" borderId="5" xfId="0" applyNumberFormat="1" applyFont="1" applyFill="1" applyBorder="1" applyAlignment="1">
      <alignment horizontal="center"/>
    </xf>
    <xf numFmtId="0" fontId="1" fillId="3" borderId="7" xfId="0" applyFont="1" applyFill="1" applyBorder="1" applyAlignment="1"/>
    <xf numFmtId="2" fontId="2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/>
    <xf numFmtId="2" fontId="2" fillId="3" borderId="8" xfId="0" applyNumberFormat="1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0" fontId="28" fillId="3" borderId="9" xfId="0" applyFont="1" applyFill="1" applyBorder="1" applyAlignment="1"/>
    <xf numFmtId="167" fontId="2" fillId="0" borderId="0" xfId="0" applyNumberFormat="1" applyFont="1" applyAlignment="1"/>
    <xf numFmtId="0" fontId="29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/>
    </xf>
    <xf numFmtId="169" fontId="1" fillId="7" borderId="5" xfId="0" applyNumberFormat="1" applyFont="1" applyFill="1" applyBorder="1" applyAlignment="1">
      <alignment horizontal="right" vertical="top"/>
    </xf>
    <xf numFmtId="0" fontId="2" fillId="0" borderId="17" xfId="0" applyFont="1" applyBorder="1" applyAlignment="1"/>
    <xf numFmtId="0" fontId="2" fillId="0" borderId="5" xfId="0" applyFont="1" applyBorder="1" applyAlignment="1"/>
    <xf numFmtId="0" fontId="1" fillId="3" borderId="4" xfId="0" applyFont="1" applyFill="1" applyBorder="1" applyAlignment="1">
      <alignment vertical="top"/>
    </xf>
    <xf numFmtId="0" fontId="2" fillId="0" borderId="16" xfId="0" applyFont="1" applyBorder="1" applyAlignment="1"/>
    <xf numFmtId="0" fontId="2" fillId="0" borderId="5" xfId="0" applyFont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right" vertical="top"/>
    </xf>
    <xf numFmtId="0" fontId="28" fillId="0" borderId="0" xfId="0" applyFont="1" applyAlignment="1"/>
    <xf numFmtId="0" fontId="28" fillId="0" borderId="16" xfId="0" applyFont="1" applyBorder="1" applyAlignment="1"/>
    <xf numFmtId="0" fontId="28" fillId="0" borderId="17" xfId="0" applyFont="1" applyBorder="1" applyAlignment="1"/>
    <xf numFmtId="168" fontId="1" fillId="7" borderId="5" xfId="0" applyNumberFormat="1" applyFont="1" applyFill="1" applyBorder="1" applyAlignment="1">
      <alignment horizontal="right" vertical="top"/>
    </xf>
    <xf numFmtId="170" fontId="2" fillId="0" borderId="16" xfId="0" applyNumberFormat="1" applyFont="1" applyBorder="1" applyAlignment="1"/>
    <xf numFmtId="171" fontId="2" fillId="0" borderId="16" xfId="0" applyNumberFormat="1" applyFont="1" applyBorder="1" applyAlignment="1"/>
    <xf numFmtId="0" fontId="31" fillId="3" borderId="4" xfId="0" applyFont="1" applyFill="1" applyBorder="1" applyAlignment="1">
      <alignment horizontal="left" vertical="top" wrapText="1"/>
    </xf>
    <xf numFmtId="168" fontId="2" fillId="0" borderId="16" xfId="0" applyNumberFormat="1" applyFont="1" applyBorder="1" applyAlignment="1"/>
    <xf numFmtId="174" fontId="2" fillId="0" borderId="16" xfId="0" applyNumberFormat="1" applyFont="1" applyBorder="1" applyAlignment="1"/>
    <xf numFmtId="2" fontId="33" fillId="7" borderId="5" xfId="0" applyNumberFormat="1" applyFont="1" applyFill="1" applyBorder="1" applyAlignment="1">
      <alignment horizontal="right" vertical="top"/>
    </xf>
    <xf numFmtId="173" fontId="2" fillId="0" borderId="0" xfId="0" applyNumberFormat="1" applyFont="1" applyAlignment="1">
      <alignment horizontal="right"/>
    </xf>
    <xf numFmtId="169" fontId="34" fillId="0" borderId="0" xfId="0" applyNumberFormat="1" applyFont="1" applyAlignment="1">
      <alignment horizontal="right"/>
    </xf>
    <xf numFmtId="0" fontId="2" fillId="0" borderId="5" xfId="0" applyFont="1" applyBorder="1" applyAlignment="1">
      <alignment vertical="center"/>
    </xf>
    <xf numFmtId="9" fontId="2" fillId="7" borderId="5" xfId="0" applyNumberFormat="1" applyFont="1" applyFill="1" applyBorder="1" applyAlignment="1"/>
    <xf numFmtId="10" fontId="2" fillId="7" borderId="5" xfId="0" applyNumberFormat="1" applyFont="1" applyFill="1" applyBorder="1" applyAlignment="1"/>
    <xf numFmtId="10" fontId="18" fillId="0" borderId="0" xfId="0" applyNumberFormat="1" applyFont="1" applyAlignment="1">
      <alignment horizontal="right"/>
    </xf>
    <xf numFmtId="173" fontId="32" fillId="0" borderId="5" xfId="0" applyNumberFormat="1" applyFont="1" applyBorder="1" applyAlignment="1"/>
    <xf numFmtId="0" fontId="1" fillId="0" borderId="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2" fontId="18" fillId="0" borderId="0" xfId="0" applyNumberFormat="1" applyFont="1" applyAlignment="1"/>
    <xf numFmtId="175" fontId="2" fillId="0" borderId="0" xfId="0" applyNumberFormat="1" applyFont="1" applyAlignment="1"/>
    <xf numFmtId="172" fontId="2" fillId="0" borderId="0" xfId="0" applyNumberFormat="1" applyFont="1" applyAlignment="1"/>
    <xf numFmtId="172" fontId="18" fillId="0" borderId="10" xfId="0" applyNumberFormat="1" applyFont="1" applyBorder="1" applyAlignment="1"/>
    <xf numFmtId="0" fontId="17" fillId="3" borderId="1" xfId="0" applyFont="1" applyFill="1" applyBorder="1" applyAlignment="1"/>
    <xf numFmtId="0" fontId="2" fillId="3" borderId="2" xfId="0" applyFont="1" applyFill="1" applyBorder="1" applyAlignment="1"/>
    <xf numFmtId="0" fontId="35" fillId="3" borderId="13" xfId="0" applyFont="1" applyFill="1" applyBorder="1" applyAlignment="1"/>
    <xf numFmtId="165" fontId="17" fillId="3" borderId="4" xfId="0" applyNumberFormat="1" applyFont="1" applyFill="1" applyBorder="1" applyAlignment="1"/>
    <xf numFmtId="0" fontId="37" fillId="3" borderId="13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4" borderId="5" xfId="0" applyNumberFormat="1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wrapText="1"/>
    </xf>
    <xf numFmtId="0" fontId="27" fillId="3" borderId="4" xfId="0" applyFont="1" applyFill="1" applyBorder="1" applyAlignment="1">
      <alignment horizontal="right"/>
    </xf>
    <xf numFmtId="165" fontId="2" fillId="3" borderId="13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37" fontId="2" fillId="4" borderId="5" xfId="0" applyNumberFormat="1" applyFont="1" applyFill="1" applyBorder="1" applyAlignment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left" wrapText="1"/>
    </xf>
    <xf numFmtId="172" fontId="26" fillId="3" borderId="5" xfId="0" applyNumberFormat="1" applyFont="1" applyFill="1" applyBorder="1" applyAlignment="1"/>
    <xf numFmtId="172" fontId="18" fillId="3" borderId="5" xfId="0" applyNumberFormat="1" applyFont="1" applyFill="1" applyBorder="1" applyAlignment="1"/>
    <xf numFmtId="172" fontId="2" fillId="4" borderId="5" xfId="0" applyNumberFormat="1" applyFont="1" applyFill="1" applyBorder="1" applyAlignment="1"/>
    <xf numFmtId="172" fontId="2" fillId="3" borderId="5" xfId="0" applyNumberFormat="1" applyFont="1" applyFill="1" applyBorder="1" applyAlignment="1"/>
    <xf numFmtId="0" fontId="37" fillId="3" borderId="13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172" fontId="2" fillId="3" borderId="14" xfId="0" applyNumberFormat="1" applyFont="1" applyFill="1" applyBorder="1" applyAlignment="1"/>
    <xf numFmtId="0" fontId="33" fillId="7" borderId="5" xfId="0" applyFont="1" applyFill="1" applyBorder="1" applyAlignment="1">
      <alignment wrapText="1"/>
    </xf>
    <xf numFmtId="172" fontId="2" fillId="7" borderId="5" xfId="0" applyNumberFormat="1" applyFont="1" applyFill="1" applyBorder="1" applyAlignment="1"/>
    <xf numFmtId="0" fontId="31" fillId="3" borderId="4" xfId="0" applyFont="1" applyFill="1" applyBorder="1" applyAlignment="1">
      <alignment wrapText="1"/>
    </xf>
    <xf numFmtId="172" fontId="2" fillId="3" borderId="13" xfId="0" applyNumberFormat="1" applyFont="1" applyFill="1" applyBorder="1" applyAlignment="1"/>
    <xf numFmtId="172" fontId="2" fillId="4" borderId="13" xfId="0" applyNumberFormat="1" applyFont="1" applyFill="1" applyBorder="1" applyAlignment="1"/>
    <xf numFmtId="0" fontId="33" fillId="3" borderId="4" xfId="0" applyFont="1" applyFill="1" applyBorder="1" applyAlignment="1">
      <alignment wrapText="1"/>
    </xf>
    <xf numFmtId="172" fontId="34" fillId="3" borderId="5" xfId="0" applyNumberFormat="1" applyFont="1" applyFill="1" applyBorder="1" applyAlignment="1"/>
    <xf numFmtId="172" fontId="18" fillId="0" borderId="5" xfId="0" applyNumberFormat="1" applyFont="1" applyBorder="1" applyAlignment="1"/>
    <xf numFmtId="172" fontId="26" fillId="3" borderId="13" xfId="0" applyNumberFormat="1" applyFont="1" applyFill="1" applyBorder="1" applyAlignment="1"/>
    <xf numFmtId="172" fontId="18" fillId="3" borderId="13" xfId="0" applyNumberFormat="1" applyFont="1" applyFill="1" applyBorder="1" applyAlignment="1"/>
    <xf numFmtId="0" fontId="1" fillId="7" borderId="5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72" fontId="2" fillId="3" borderId="6" xfId="0" applyNumberFormat="1" applyFont="1" applyFill="1" applyBorder="1" applyAlignment="1"/>
    <xf numFmtId="172" fontId="2" fillId="3" borderId="4" xfId="0" applyNumberFormat="1" applyFont="1" applyFill="1" applyBorder="1" applyAlignment="1"/>
    <xf numFmtId="169" fontId="2" fillId="7" borderId="5" xfId="0" applyNumberFormat="1" applyFont="1" applyFill="1" applyBorder="1" applyAlignment="1"/>
    <xf numFmtId="167" fontId="2" fillId="3" borderId="6" xfId="0" applyNumberFormat="1" applyFont="1" applyFill="1" applyBorder="1" applyAlignment="1"/>
    <xf numFmtId="0" fontId="2" fillId="3" borderId="4" xfId="0" applyFont="1" applyFill="1" applyBorder="1" applyAlignment="1">
      <alignment horizontal="left"/>
    </xf>
    <xf numFmtId="9" fontId="2" fillId="3" borderId="6" xfId="0" applyNumberFormat="1" applyFont="1" applyFill="1" applyBorder="1" applyAlignment="1">
      <alignment horizontal="center"/>
    </xf>
    <xf numFmtId="0" fontId="2" fillId="3" borderId="9" xfId="0" applyFont="1" applyFill="1" applyBorder="1" applyAlignment="1"/>
    <xf numFmtId="0" fontId="37" fillId="0" borderId="8" xfId="0" applyFont="1" applyBorder="1" applyAlignment="1"/>
    <xf numFmtId="0" fontId="19" fillId="0" borderId="0" xfId="0" applyFont="1" applyAlignment="1"/>
    <xf numFmtId="0" fontId="37" fillId="3" borderId="1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165" fontId="37" fillId="3" borderId="5" xfId="0" applyNumberFormat="1" applyFont="1" applyFill="1" applyBorder="1" applyAlignment="1">
      <alignment horizontal="center" vertical="center" wrapText="1"/>
    </xf>
    <xf numFmtId="166" fontId="2" fillId="4" borderId="5" xfId="0" applyNumberFormat="1" applyFont="1" applyFill="1" applyBorder="1" applyAlignment="1">
      <alignment horizontal="center" vertical="center" wrapText="1"/>
    </xf>
    <xf numFmtId="165" fontId="37" fillId="3" borderId="13" xfId="0" applyNumberFormat="1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left" wrapText="1"/>
    </xf>
    <xf numFmtId="172" fontId="2" fillId="3" borderId="8" xfId="0" applyNumberFormat="1" applyFont="1" applyFill="1" applyBorder="1" applyAlignment="1"/>
    <xf numFmtId="172" fontId="2" fillId="4" borderId="8" xfId="0" applyNumberFormat="1" applyFont="1" applyFill="1" applyBorder="1" applyAlignment="1"/>
    <xf numFmtId="175" fontId="2" fillId="3" borderId="5" xfId="0" applyNumberFormat="1" applyFont="1" applyFill="1" applyBorder="1" applyAlignment="1"/>
    <xf numFmtId="172" fontId="26" fillId="3" borderId="0" xfId="0" applyNumberFormat="1" applyFont="1" applyFill="1" applyBorder="1" applyAlignment="1"/>
    <xf numFmtId="0" fontId="33" fillId="3" borderId="13" xfId="0" applyFont="1" applyFill="1" applyBorder="1" applyAlignment="1">
      <alignment wrapText="1"/>
    </xf>
    <xf numFmtId="167" fontId="2" fillId="7" borderId="5" xfId="0" applyNumberFormat="1" applyFont="1" applyFill="1" applyBorder="1" applyAlignment="1"/>
    <xf numFmtId="0" fontId="39" fillId="3" borderId="4" xfId="0" applyFont="1" applyFill="1" applyBorder="1" applyAlignment="1"/>
    <xf numFmtId="167" fontId="40" fillId="3" borderId="0" xfId="0" applyNumberFormat="1" applyFont="1" applyFill="1" applyBorder="1" applyAlignment="1"/>
    <xf numFmtId="167" fontId="41" fillId="3" borderId="6" xfId="0" applyNumberFormat="1" applyFont="1" applyFill="1" applyBorder="1" applyAlignment="1"/>
    <xf numFmtId="172" fontId="34" fillId="3" borderId="14" xfId="0" applyNumberFormat="1" applyFont="1" applyFill="1" applyBorder="1" applyAlignment="1"/>
    <xf numFmtId="0" fontId="33" fillId="7" borderId="5" xfId="0" applyFont="1" applyFill="1" applyBorder="1" applyAlignment="1"/>
    <xf numFmtId="0" fontId="31" fillId="3" borderId="4" xfId="0" applyFont="1" applyFill="1" applyBorder="1" applyAlignment="1"/>
    <xf numFmtId="0" fontId="33" fillId="3" borderId="4" xfId="0" applyFont="1" applyFill="1" applyBorder="1" applyAlignment="1"/>
    <xf numFmtId="172" fontId="26" fillId="0" borderId="0" xfId="0" applyNumberFormat="1" applyFont="1" applyAlignment="1"/>
    <xf numFmtId="175" fontId="2" fillId="3" borderId="13" xfId="0" applyNumberFormat="1" applyFont="1" applyFill="1" applyBorder="1" applyAlignment="1"/>
    <xf numFmtId="165" fontId="2" fillId="7" borderId="5" xfId="0" applyNumberFormat="1" applyFont="1" applyFill="1" applyBorder="1" applyAlignment="1">
      <alignment horizontal="center" vertical="center" wrapText="1"/>
    </xf>
    <xf numFmtId="166" fontId="2" fillId="7" borderId="5" xfId="0" applyNumberFormat="1" applyFont="1" applyFill="1" applyBorder="1" applyAlignment="1">
      <alignment horizontal="center" vertical="center" wrapText="1"/>
    </xf>
    <xf numFmtId="176" fontId="2" fillId="7" borderId="5" xfId="0" applyNumberFormat="1" applyFont="1" applyFill="1" applyBorder="1" applyAlignment="1">
      <alignment horizontal="center" vertical="center" wrapText="1"/>
    </xf>
    <xf numFmtId="165" fontId="2" fillId="7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wrapText="1"/>
    </xf>
    <xf numFmtId="172" fontId="2" fillId="7" borderId="13" xfId="0" applyNumberFormat="1" applyFont="1" applyFill="1" applyBorder="1" applyAlignment="1"/>
    <xf numFmtId="0" fontId="37" fillId="3" borderId="8" xfId="0" applyFont="1" applyFill="1" applyBorder="1" applyAlignment="1"/>
    <xf numFmtId="0" fontId="17" fillId="3" borderId="18" xfId="0" applyFont="1" applyFill="1" applyBorder="1" applyAlignment="1"/>
    <xf numFmtId="0" fontId="2" fillId="3" borderId="19" xfId="0" applyFont="1" applyFill="1" applyBorder="1" applyAlignment="1"/>
    <xf numFmtId="0" fontId="2" fillId="3" borderId="20" xfId="0" applyFont="1" applyFill="1" applyBorder="1" applyAlignment="1"/>
    <xf numFmtId="0" fontId="17" fillId="3" borderId="21" xfId="0" applyFont="1" applyFill="1" applyBorder="1" applyAlignment="1"/>
    <xf numFmtId="0" fontId="2" fillId="3" borderId="22" xfId="0" applyFont="1" applyFill="1" applyBorder="1" applyAlignment="1"/>
    <xf numFmtId="0" fontId="38" fillId="3" borderId="21" xfId="0" applyFont="1" applyFill="1" applyBorder="1" applyAlignment="1">
      <alignment horizontal="left"/>
    </xf>
    <xf numFmtId="165" fontId="37" fillId="4" borderId="5" xfId="0" applyNumberFormat="1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42" fillId="3" borderId="21" xfId="0" applyFont="1" applyFill="1" applyBorder="1" applyAlignment="1">
      <alignment horizontal="right"/>
    </xf>
    <xf numFmtId="37" fontId="37" fillId="4" borderId="5" xfId="0" applyNumberFormat="1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left" wrapText="1"/>
    </xf>
    <xf numFmtId="167" fontId="37" fillId="3" borderId="13" xfId="0" applyNumberFormat="1" applyFont="1" applyFill="1" applyBorder="1" applyAlignment="1"/>
    <xf numFmtId="0" fontId="37" fillId="3" borderId="22" xfId="0" applyFont="1" applyFill="1" applyBorder="1" applyAlignment="1"/>
    <xf numFmtId="0" fontId="37" fillId="0" borderId="0" xfId="0" applyFont="1" applyAlignment="1"/>
    <xf numFmtId="172" fontId="37" fillId="3" borderId="13" xfId="0" applyNumberFormat="1" applyFont="1" applyFill="1" applyBorder="1" applyAlignment="1"/>
    <xf numFmtId="0" fontId="37" fillId="3" borderId="21" xfId="0" applyFont="1" applyFill="1" applyBorder="1" applyAlignment="1">
      <alignment horizontal="left" wrapText="1"/>
    </xf>
    <xf numFmtId="172" fontId="37" fillId="3" borderId="6" xfId="0" applyNumberFormat="1" applyFont="1" applyFill="1" applyBorder="1" applyAlignment="1"/>
    <xf numFmtId="172" fontId="37" fillId="3" borderId="23" xfId="0" applyNumberFormat="1" applyFont="1" applyFill="1" applyBorder="1" applyAlignment="1"/>
    <xf numFmtId="0" fontId="43" fillId="3" borderId="21" xfId="0" applyFont="1" applyFill="1" applyBorder="1" applyAlignment="1"/>
    <xf numFmtId="0" fontId="35" fillId="3" borderId="21" xfId="0" applyFont="1" applyFill="1" applyBorder="1" applyAlignment="1"/>
    <xf numFmtId="0" fontId="35" fillId="3" borderId="21" xfId="0" applyFont="1" applyFill="1" applyBorder="1" applyAlignment="1">
      <alignment horizontal="left"/>
    </xf>
    <xf numFmtId="169" fontId="37" fillId="3" borderId="13" xfId="0" applyNumberFormat="1" applyFont="1" applyFill="1" applyBorder="1" applyAlignment="1"/>
    <xf numFmtId="9" fontId="20" fillId="0" borderId="0" xfId="1" applyBorder="1" applyAlignment="1" applyProtection="1"/>
    <xf numFmtId="0" fontId="37" fillId="3" borderId="21" xfId="0" applyFont="1" applyFill="1" applyBorder="1" applyAlignment="1">
      <alignment horizontal="left"/>
    </xf>
    <xf numFmtId="167" fontId="37" fillId="3" borderId="24" xfId="0" applyNumberFormat="1" applyFont="1" applyFill="1" applyBorder="1" applyAlignment="1"/>
    <xf numFmtId="0" fontId="37" fillId="3" borderId="21" xfId="0" applyFont="1" applyFill="1" applyBorder="1" applyAlignment="1"/>
    <xf numFmtId="0" fontId="38" fillId="3" borderId="21" xfId="0" applyFont="1" applyFill="1" applyBorder="1" applyAlignment="1"/>
    <xf numFmtId="167" fontId="37" fillId="3" borderId="25" xfId="0" applyNumberFormat="1" applyFont="1" applyFill="1" applyBorder="1" applyAlignment="1"/>
    <xf numFmtId="0" fontId="2" fillId="3" borderId="21" xfId="0" applyFont="1" applyFill="1" applyBorder="1" applyAlignment="1"/>
    <xf numFmtId="0" fontId="44" fillId="3" borderId="0" xfId="0" applyFont="1" applyFill="1" applyBorder="1" applyAlignment="1"/>
    <xf numFmtId="167" fontId="37" fillId="3" borderId="0" xfId="0" applyNumberFormat="1" applyFont="1" applyFill="1" applyBorder="1" applyAlignment="1"/>
    <xf numFmtId="0" fontId="37" fillId="3" borderId="0" xfId="0" applyFont="1" applyFill="1" applyBorder="1" applyAlignment="1"/>
    <xf numFmtId="172" fontId="37" fillId="3" borderId="0" xfId="0" applyNumberFormat="1" applyFont="1" applyFill="1" applyBorder="1" applyAlignment="1"/>
    <xf numFmtId="0" fontId="37" fillId="0" borderId="26" xfId="0" applyFont="1" applyBorder="1" applyAlignment="1">
      <alignment horizontal="left"/>
    </xf>
    <xf numFmtId="9" fontId="37" fillId="3" borderId="27" xfId="0" applyNumberFormat="1" applyFont="1" applyFill="1" applyBorder="1" applyAlignment="1">
      <alignment horizontal="center"/>
    </xf>
    <xf numFmtId="0" fontId="37" fillId="3" borderId="28" xfId="0" applyFont="1" applyFill="1" applyBorder="1" applyAlignment="1"/>
    <xf numFmtId="0" fontId="1" fillId="7" borderId="18" xfId="0" applyFont="1" applyFill="1" applyBorder="1" applyAlignment="1"/>
    <xf numFmtId="167" fontId="1" fillId="7" borderId="19" xfId="0" applyNumberFormat="1" applyFont="1" applyFill="1" applyBorder="1" applyAlignment="1"/>
    <xf numFmtId="0" fontId="2" fillId="7" borderId="20" xfId="0" applyFont="1" applyFill="1" applyBorder="1" applyAlignment="1"/>
    <xf numFmtId="0" fontId="27" fillId="7" borderId="21" xfId="0" applyFont="1" applyFill="1" applyBorder="1" applyAlignment="1"/>
    <xf numFmtId="9" fontId="27" fillId="7" borderId="0" xfId="0" applyNumberFormat="1" applyFont="1" applyFill="1" applyBorder="1" applyAlignment="1">
      <alignment horizontal="center"/>
    </xf>
    <xf numFmtId="0" fontId="28" fillId="7" borderId="22" xfId="0" applyFont="1" applyFill="1" applyBorder="1" applyAlignment="1"/>
    <xf numFmtId="0" fontId="1" fillId="7" borderId="21" xfId="0" applyFont="1" applyFill="1" applyBorder="1" applyAlignment="1"/>
    <xf numFmtId="0" fontId="1" fillId="7" borderId="0" xfId="0" applyFont="1" applyFill="1" applyBorder="1" applyAlignment="1"/>
    <xf numFmtId="0" fontId="2" fillId="7" borderId="22" xfId="0" applyFont="1" applyFill="1" applyBorder="1" applyAlignment="1"/>
    <xf numFmtId="167" fontId="1" fillId="7" borderId="0" xfId="0" applyNumberFormat="1" applyFont="1" applyFill="1" applyBorder="1" applyAlignment="1"/>
    <xf numFmtId="0" fontId="2" fillId="7" borderId="26" xfId="0" applyFont="1" applyFill="1" applyBorder="1" applyAlignment="1"/>
    <xf numFmtId="0" fontId="2" fillId="7" borderId="27" xfId="0" applyFont="1" applyFill="1" applyBorder="1" applyAlignment="1"/>
    <xf numFmtId="0" fontId="2" fillId="7" borderId="28" xfId="0" applyFont="1" applyFill="1" applyBorder="1" applyAlignment="1"/>
    <xf numFmtId="9" fontId="2" fillId="0" borderId="0" xfId="0" applyNumberFormat="1" applyFont="1" applyAlignment="1">
      <alignment horizontal="center"/>
    </xf>
    <xf numFmtId="169" fontId="1" fillId="0" borderId="0" xfId="0" applyNumberFormat="1" applyFont="1" applyAlignment="1"/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left"/>
    </xf>
    <xf numFmtId="172" fontId="2" fillId="3" borderId="23" xfId="0" applyNumberFormat="1" applyFont="1" applyFill="1" applyBorder="1" applyAlignment="1"/>
    <xf numFmtId="0" fontId="1" fillId="3" borderId="29" xfId="0" applyFont="1" applyFill="1" applyBorder="1" applyAlignment="1"/>
    <xf numFmtId="167" fontId="2" fillId="3" borderId="13" xfId="0" applyNumberFormat="1" applyFont="1" applyFill="1" applyBorder="1" applyAlignment="1"/>
    <xf numFmtId="0" fontId="2" fillId="3" borderId="29" xfId="0" applyFont="1" applyFill="1" applyBorder="1" applyAlignment="1"/>
    <xf numFmtId="167" fontId="2" fillId="3" borderId="30" xfId="0" applyNumberFormat="1" applyFont="1" applyFill="1" applyBorder="1" applyAlignment="1"/>
    <xf numFmtId="167" fontId="2" fillId="3" borderId="24" xfId="0" applyNumberFormat="1" applyFont="1" applyFill="1" applyBorder="1" applyAlignment="1"/>
    <xf numFmtId="0" fontId="2" fillId="3" borderId="21" xfId="0" applyFont="1" applyFill="1" applyBorder="1" applyAlignment="1">
      <alignment horizontal="left"/>
    </xf>
    <xf numFmtId="0" fontId="1" fillId="3" borderId="21" xfId="0" applyFont="1" applyFill="1" applyBorder="1" applyAlignment="1"/>
    <xf numFmtId="167" fontId="2" fillId="4" borderId="25" xfId="0" applyNumberFormat="1" applyFont="1" applyFill="1" applyBorder="1" applyAlignment="1"/>
    <xf numFmtId="167" fontId="2" fillId="3" borderId="0" xfId="0" applyNumberFormat="1" applyFont="1" applyFill="1" applyBorder="1" applyAlignment="1"/>
    <xf numFmtId="172" fontId="2" fillId="3" borderId="0" xfId="0" applyNumberFormat="1" applyFont="1" applyFill="1" applyBorder="1" applyAlignment="1"/>
    <xf numFmtId="0" fontId="2" fillId="0" borderId="26" xfId="0" applyFont="1" applyBorder="1" applyAlignment="1">
      <alignment horizontal="left"/>
    </xf>
    <xf numFmtId="9" fontId="2" fillId="3" borderId="27" xfId="0" applyNumberFormat="1" applyFont="1" applyFill="1" applyBorder="1" applyAlignment="1">
      <alignment horizontal="center"/>
    </xf>
    <xf numFmtId="0" fontId="2" fillId="3" borderId="28" xfId="0" applyFont="1" applyFill="1" applyBorder="1" applyAlignment="1"/>
    <xf numFmtId="172" fontId="2" fillId="0" borderId="5" xfId="0" applyNumberFormat="1" applyFont="1" applyBorder="1" applyAlignment="1">
      <alignment horizontal="center"/>
    </xf>
    <xf numFmtId="0" fontId="45" fillId="0" borderId="0" xfId="0" applyFont="1" applyAlignment="1"/>
    <xf numFmtId="172" fontId="1" fillId="0" borderId="0" xfId="0" applyNumberFormat="1" applyFont="1" applyAlignment="1"/>
    <xf numFmtId="172" fontId="18" fillId="8" borderId="0" xfId="0" applyNumberFormat="1" applyFont="1" applyFill="1" applyAlignment="1"/>
    <xf numFmtId="0" fontId="2" fillId="8" borderId="16" xfId="0" applyFont="1" applyFill="1" applyBorder="1" applyAlignment="1">
      <alignment wrapText="1"/>
    </xf>
    <xf numFmtId="2" fontId="18" fillId="9" borderId="5" xfId="0" applyNumberFormat="1" applyFont="1" applyFill="1" applyBorder="1" applyAlignment="1">
      <alignment horizontal="right" vertical="top"/>
    </xf>
    <xf numFmtId="2" fontId="32" fillId="8" borderId="5" xfId="0" applyNumberFormat="1" applyFont="1" applyFill="1" applyBorder="1" applyAlignment="1">
      <alignment horizontal="right" vertical="top"/>
    </xf>
    <xf numFmtId="10" fontId="32" fillId="8" borderId="5" xfId="0" applyNumberFormat="1" applyFont="1" applyFill="1" applyBorder="1" applyAlignment="1">
      <alignment horizontal="right" vertical="top"/>
    </xf>
    <xf numFmtId="10" fontId="18" fillId="9" borderId="5" xfId="0" applyNumberFormat="1" applyFont="1" applyFill="1" applyBorder="1" applyAlignment="1">
      <alignment horizontal="right" vertical="top"/>
    </xf>
    <xf numFmtId="9" fontId="26" fillId="9" borderId="0" xfId="0" applyNumberFormat="1" applyFont="1" applyFill="1" applyBorder="1" applyAlignment="1">
      <alignment horizontal="center"/>
    </xf>
    <xf numFmtId="0" fontId="18" fillId="9" borderId="13" xfId="0" applyFont="1" applyFill="1" applyBorder="1" applyAlignment="1"/>
    <xf numFmtId="166" fontId="18" fillId="9" borderId="4" xfId="0" applyNumberFormat="1" applyFont="1" applyFill="1" applyBorder="1" applyAlignment="1">
      <alignment horizontal="center"/>
    </xf>
    <xf numFmtId="166" fontId="18" fillId="9" borderId="13" xfId="0" applyNumberFormat="1" applyFont="1" applyFill="1" applyBorder="1" applyAlignment="1">
      <alignment horizontal="center"/>
    </xf>
    <xf numFmtId="0" fontId="18" fillId="9" borderId="4" xfId="0" applyFont="1" applyFill="1" applyBorder="1" applyAlignment="1"/>
    <xf numFmtId="0" fontId="2" fillId="8" borderId="0" xfId="0" applyFont="1" applyFill="1" applyAlignment="1"/>
    <xf numFmtId="0" fontId="18" fillId="9" borderId="13" xfId="0" applyFont="1" applyFill="1" applyBorder="1" applyAlignment="1">
      <alignment horizontal="left"/>
    </xf>
    <xf numFmtId="2" fontId="18" fillId="9" borderId="4" xfId="0" applyNumberFormat="1" applyFont="1" applyFill="1" applyBorder="1" applyAlignment="1">
      <alignment horizontal="center"/>
    </xf>
    <xf numFmtId="2" fontId="18" fillId="9" borderId="13" xfId="0" applyNumberFormat="1" applyFont="1" applyFill="1" applyBorder="1" applyAlignment="1">
      <alignment horizontal="center"/>
    </xf>
    <xf numFmtId="0" fontId="18" fillId="9" borderId="13" xfId="0" applyFont="1" applyFill="1" applyBorder="1" applyAlignment="1">
      <alignment wrapText="1"/>
    </xf>
    <xf numFmtId="0" fontId="20" fillId="8" borderId="6" xfId="0" applyFont="1" applyFill="1" applyBorder="1" applyAlignment="1"/>
    <xf numFmtId="0" fontId="20" fillId="8" borderId="13" xfId="0" applyFont="1" applyFill="1" applyBorder="1" applyAlignment="1"/>
    <xf numFmtId="0" fontId="26" fillId="9" borderId="4" xfId="0" applyFont="1" applyFill="1" applyBorder="1" applyAlignment="1"/>
    <xf numFmtId="1" fontId="26" fillId="9" borderId="4" xfId="0" applyNumberFormat="1" applyFont="1" applyFill="1" applyBorder="1" applyAlignment="1">
      <alignment horizontal="center"/>
    </xf>
    <xf numFmtId="0" fontId="26" fillId="9" borderId="4" xfId="0" applyFont="1" applyFill="1" applyBorder="1" applyAlignment="1">
      <alignment horizontal="center"/>
    </xf>
    <xf numFmtId="0" fontId="26" fillId="9" borderId="13" xfId="0" applyFont="1" applyFill="1" applyBorder="1" applyAlignment="1">
      <alignment horizontal="center"/>
    </xf>
    <xf numFmtId="0" fontId="26" fillId="9" borderId="8" xfId="0" applyFont="1" applyFill="1" applyBorder="1" applyAlignment="1">
      <alignment horizontal="center"/>
    </xf>
    <xf numFmtId="165" fontId="18" fillId="10" borderId="14" xfId="0" applyNumberFormat="1" applyFont="1" applyFill="1" applyBorder="1" applyAlignment="1">
      <alignment horizontal="center"/>
    </xf>
    <xf numFmtId="165" fontId="18" fillId="10" borderId="13" xfId="0" applyNumberFormat="1" applyFont="1" applyFill="1" applyBorder="1" applyAlignment="1">
      <alignment horizontal="center"/>
    </xf>
    <xf numFmtId="165" fontId="18" fillId="10" borderId="8" xfId="0" applyNumberFormat="1" applyFont="1" applyFill="1" applyBorder="1" applyAlignment="1">
      <alignment horizontal="center"/>
    </xf>
    <xf numFmtId="165" fontId="26" fillId="10" borderId="13" xfId="0" applyNumberFormat="1" applyFont="1" applyFill="1" applyBorder="1" applyAlignment="1">
      <alignment horizontal="center"/>
    </xf>
    <xf numFmtId="165" fontId="26" fillId="10" borderId="8" xfId="0" applyNumberFormat="1" applyFont="1" applyFill="1" applyBorder="1" applyAlignment="1">
      <alignment horizontal="center"/>
    </xf>
    <xf numFmtId="169" fontId="30" fillId="8" borderId="5" xfId="0" applyNumberFormat="1" applyFont="1" applyFill="1" applyBorder="1" applyAlignment="1">
      <alignment horizontal="right" vertical="top"/>
    </xf>
    <xf numFmtId="172" fontId="1" fillId="8" borderId="0" xfId="0" applyNumberFormat="1" applyFont="1" applyFill="1" applyAlignment="1"/>
    <xf numFmtId="172" fontId="2" fillId="8" borderId="0" xfId="0" applyNumberFormat="1" applyFont="1" applyFill="1" applyAlignment="1"/>
    <xf numFmtId="172" fontId="2" fillId="8" borderId="10" xfId="0" applyNumberFormat="1" applyFont="1" applyFill="1" applyBorder="1" applyAlignment="1"/>
    <xf numFmtId="3" fontId="18" fillId="9" borderId="5" xfId="0" applyNumberFormat="1" applyFont="1" applyFill="1" applyBorder="1" applyAlignment="1">
      <alignment horizontal="left"/>
    </xf>
    <xf numFmtId="3" fontId="18" fillId="9" borderId="7" xfId="0" applyNumberFormat="1" applyFont="1" applyFill="1" applyBorder="1" applyAlignment="1">
      <alignment horizontal="left"/>
    </xf>
    <xf numFmtId="0" fontId="47" fillId="0" borderId="17" xfId="0" applyFont="1" applyBorder="1" applyAlignment="1"/>
    <xf numFmtId="0" fontId="47" fillId="0" borderId="5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/>
    <xf numFmtId="0" fontId="2" fillId="0" borderId="6" xfId="0" applyFont="1" applyBorder="1" applyAlignment="1"/>
    <xf numFmtId="0" fontId="0" fillId="0" borderId="10" xfId="0" applyBorder="1"/>
    <xf numFmtId="0" fontId="2" fillId="0" borderId="10" xfId="0" applyFont="1" applyBorder="1" applyAlignment="1"/>
    <xf numFmtId="0" fontId="2" fillId="0" borderId="11" xfId="0" applyFont="1" applyBorder="1" applyAlignment="1"/>
    <xf numFmtId="1" fontId="2" fillId="3" borderId="5" xfId="0" applyNumberFormat="1" applyFont="1" applyFill="1" applyBorder="1" applyAlignment="1"/>
    <xf numFmtId="0" fontId="0" fillId="0" borderId="19" xfId="0" applyBorder="1"/>
    <xf numFmtId="0" fontId="0" fillId="0" borderId="32" xfId="0" applyBorder="1"/>
    <xf numFmtId="0" fontId="49" fillId="3" borderId="13" xfId="0" applyFont="1" applyFill="1" applyBorder="1" applyAlignment="1">
      <alignment horizontal="left" vertical="top" wrapText="1"/>
    </xf>
    <xf numFmtId="0" fontId="49" fillId="3" borderId="13" xfId="0" applyFont="1" applyFill="1" applyBorder="1" applyAlignment="1"/>
    <xf numFmtId="0" fontId="47" fillId="3" borderId="4" xfId="0" applyFont="1" applyFill="1" applyBorder="1" applyAlignment="1">
      <alignment horizontal="left"/>
    </xf>
    <xf numFmtId="168" fontId="2" fillId="0" borderId="0" xfId="0" applyNumberFormat="1" applyFont="1" applyAlignment="1">
      <alignment vertical="top"/>
    </xf>
    <xf numFmtId="168" fontId="1" fillId="0" borderId="5" xfId="0" applyNumberFormat="1" applyFont="1" applyBorder="1" applyAlignment="1">
      <alignment vertical="top"/>
    </xf>
    <xf numFmtId="168" fontId="2" fillId="0" borderId="5" xfId="0" applyNumberFormat="1" applyFont="1" applyBorder="1" applyAlignment="1">
      <alignment vertical="top" wrapText="1"/>
    </xf>
    <xf numFmtId="168" fontId="47" fillId="0" borderId="5" xfId="0" applyNumberFormat="1" applyFont="1" applyBorder="1" applyAlignment="1">
      <alignment vertical="top" wrapText="1"/>
    </xf>
    <xf numFmtId="168" fontId="2" fillId="0" borderId="5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49" fillId="3" borderId="13" xfId="0" applyFont="1" applyFill="1" applyBorder="1" applyAlignment="1">
      <alignment wrapText="1"/>
    </xf>
    <xf numFmtId="0" fontId="47" fillId="0" borderId="0" xfId="0" applyFont="1" applyAlignment="1">
      <alignment horizontal="left" indent="2"/>
    </xf>
    <xf numFmtId="0" fontId="52" fillId="0" borderId="0" xfId="0" applyFont="1" applyAlignment="1">
      <alignment wrapText="1"/>
    </xf>
    <xf numFmtId="0" fontId="49" fillId="3" borderId="0" xfId="0" applyFont="1" applyFill="1" applyBorder="1" applyAlignment="1">
      <alignment wrapText="1"/>
    </xf>
    <xf numFmtId="0" fontId="47" fillId="3" borderId="0" xfId="0" applyFont="1" applyFill="1" applyBorder="1" applyAlignment="1">
      <alignment horizontal="left"/>
    </xf>
    <xf numFmtId="44" fontId="0" fillId="0" borderId="0" xfId="2" applyFont="1"/>
    <xf numFmtId="44" fontId="0" fillId="0" borderId="0" xfId="0" applyNumberFormat="1"/>
    <xf numFmtId="0" fontId="2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2" fontId="2" fillId="11" borderId="5" xfId="0" applyNumberFormat="1" applyFont="1" applyFill="1" applyBorder="1" applyAlignment="1">
      <alignment horizontal="right" vertical="top"/>
    </xf>
    <xf numFmtId="168" fontId="48" fillId="7" borderId="5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center"/>
    </xf>
    <xf numFmtId="164" fontId="16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50" fillId="0" borderId="0" xfId="0" applyFont="1" applyAlignment="1">
      <alignment horizontal="left" vertical="top" wrapText="1"/>
    </xf>
    <xf numFmtId="0" fontId="4" fillId="3" borderId="15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22" fillId="4" borderId="5" xfId="0" applyFont="1" applyFill="1" applyBorder="1" applyAlignment="1">
      <alignment horizontal="center" vertical="center" wrapText="1"/>
    </xf>
    <xf numFmtId="0" fontId="5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165" fontId="1" fillId="4" borderId="5" xfId="0" applyNumberFormat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7030A0"/>
      <rgbColor rgb="FFFFFFCC"/>
      <rgbColor rgb="FFCCFFFF"/>
      <rgbColor rgb="FF660066"/>
      <rgbColor rgb="FFE46C0A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1564617</xdr:colOff>
      <xdr:row>23</xdr:row>
      <xdr:rowOff>378459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10031760" cy="9600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1435100</xdr:colOff>
      <xdr:row>46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504360</xdr:colOff>
      <xdr:row>58</xdr:row>
      <xdr:rowOff>132840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0"/>
          <a:ext cx="1004616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504360</xdr:colOff>
      <xdr:row>58</xdr:row>
      <xdr:rowOff>132840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0" y="0"/>
          <a:ext cx="1004616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504360</xdr:colOff>
      <xdr:row>58</xdr:row>
      <xdr:rowOff>132840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1004616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393700</xdr:colOff>
      <xdr:row>83</xdr:row>
      <xdr:rowOff>50800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D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393700</xdr:colOff>
      <xdr:row>83</xdr:row>
      <xdr:rowOff>50800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D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393700</xdr:colOff>
      <xdr:row>83</xdr:row>
      <xdr:rowOff>50800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D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46C0A"/>
  </sheetPr>
  <dimension ref="A1:Z32"/>
  <sheetViews>
    <sheetView zoomScale="110" zoomScaleNormal="110" zoomScalePageLayoutView="110" workbookViewId="0">
      <selection activeCell="M38" sqref="M38"/>
    </sheetView>
  </sheetViews>
  <sheetFormatPr defaultColWidth="8.85546875" defaultRowHeight="12.75" x14ac:dyDescent="0.2"/>
  <cols>
    <col min="1" max="1" width="3.7109375" customWidth="1"/>
    <col min="2" max="2" width="4.28515625" customWidth="1"/>
    <col min="3" max="13" width="9.140625" customWidth="1"/>
    <col min="14" max="26" width="8.7109375" customWidth="1"/>
    <col min="27" max="1025" width="14.42578125" customWidth="1"/>
  </cols>
  <sheetData>
    <row r="1" spans="1:26" ht="6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4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25" customHeight="1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7.5" customHeight="1" x14ac:dyDescent="0.25">
      <c r="A4" s="4"/>
      <c r="B4" s="327" t="s">
        <v>1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4">
        <v>1</v>
      </c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4">
        <v>2</v>
      </c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4"/>
      <c r="B7" s="6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4">
        <v>3</v>
      </c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4"/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4"/>
      <c r="B10" s="5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4"/>
      <c r="B11" s="5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4"/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4"/>
      <c r="B13" s="6" t="s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4"/>
      <c r="B14" s="6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4">
        <v>4</v>
      </c>
      <c r="B15" s="5" t="s">
        <v>279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4"/>
      <c r="B16" s="5" t="s">
        <v>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4">
        <v>5</v>
      </c>
      <c r="B17" s="5" t="s">
        <v>13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4"/>
      <c r="B18" s="5" t="s">
        <v>14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4"/>
      <c r="B19" s="5" t="s">
        <v>15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4"/>
      <c r="B20" s="5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4">
        <v>6</v>
      </c>
      <c r="B21" s="5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4"/>
      <c r="B22" s="5" t="s">
        <v>18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4"/>
      <c r="B23" s="5" t="s">
        <v>19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4"/>
      <c r="B24" s="5" t="s">
        <v>20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4">
        <v>7</v>
      </c>
      <c r="B25" s="7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4"/>
      <c r="B26" s="6" t="s">
        <v>22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4">
        <v>8</v>
      </c>
      <c r="B27" s="5" t="s">
        <v>23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4" t="s">
        <v>24</v>
      </c>
      <c r="B29" s="8"/>
      <c r="C29" s="4" t="s">
        <v>277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9"/>
      <c r="B30" s="8"/>
      <c r="C30" s="4" t="s">
        <v>278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9"/>
      <c r="B31" s="8"/>
      <c r="C31" s="4" t="s">
        <v>280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x14ac:dyDescent="0.25">
      <c r="C32" s="4" t="s">
        <v>25</v>
      </c>
    </row>
  </sheetData>
  <mergeCells count="1">
    <mergeCell ref="B4:M4"/>
  </mergeCells>
  <pageMargins left="0.7" right="0.7" top="0.75" bottom="0.75" header="0.51180555555555496" footer="0.51180555555555496"/>
  <pageSetup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5"/>
  <sheetViews>
    <sheetView zoomScale="110" zoomScaleNormal="110" zoomScalePageLayoutView="110" workbookViewId="0">
      <selection activeCell="H26" sqref="H26"/>
    </sheetView>
  </sheetViews>
  <sheetFormatPr defaultColWidth="8.85546875" defaultRowHeight="12.75" x14ac:dyDescent="0.2"/>
  <cols>
    <col min="1" max="1" width="36.42578125" customWidth="1"/>
    <col min="2" max="5" width="12.85546875" customWidth="1"/>
    <col min="6" max="6" width="0.7109375" customWidth="1"/>
    <col min="7" max="7" width="11.42578125" customWidth="1"/>
    <col min="8" max="8" width="62.7109375" bestFit="1" customWidth="1"/>
    <col min="9" max="24" width="8.7109375" customWidth="1"/>
    <col min="25" max="1023" width="14.42578125" customWidth="1"/>
  </cols>
  <sheetData>
    <row r="1" spans="1:24" ht="18.75" x14ac:dyDescent="0.3">
      <c r="A1" s="173">
        <f>'Page 3-Assumptions'!A1</f>
        <v>0</v>
      </c>
      <c r="B1" s="174"/>
      <c r="C1" s="174"/>
      <c r="D1" s="174"/>
      <c r="E1" s="174"/>
      <c r="F1" s="17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3">
      <c r="A2" s="176" t="s">
        <v>217</v>
      </c>
      <c r="B2" s="22"/>
      <c r="C2" s="22"/>
      <c r="D2" s="22"/>
      <c r="E2" s="22"/>
      <c r="F2" s="17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5.25" customHeight="1" x14ac:dyDescent="0.3">
      <c r="A3" s="176"/>
      <c r="B3" s="22"/>
      <c r="C3" s="22" t="s">
        <v>26</v>
      </c>
      <c r="D3" s="22"/>
      <c r="E3" s="22"/>
      <c r="F3" s="17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0.25" customHeight="1" x14ac:dyDescent="0.2">
      <c r="A4" s="178"/>
      <c r="B4" s="179" t="str">
        <f>'Page 11-6 yr Budget Summary'!B3</f>
        <v>FY 2020-21 Estimate</v>
      </c>
      <c r="C4" s="179" t="str">
        <f>'Page 11-6 yr Budget Summary'!C3</f>
        <v>FY 2021 -22</v>
      </c>
      <c r="D4" s="179" t="str">
        <f>'Page 11-6 yr Budget Summary'!D3</f>
        <v>FY 2022-23</v>
      </c>
      <c r="E4" s="179" t="str">
        <f>'Page 11-6 yr Budget Summary'!E3</f>
        <v>FY 2023-24</v>
      </c>
      <c r="F4" s="180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</row>
    <row r="5" spans="1:24" ht="12.75" customHeight="1" x14ac:dyDescent="0.2">
      <c r="A5" s="182" t="s">
        <v>146</v>
      </c>
      <c r="B5" s="179"/>
      <c r="C5" s="183">
        <f>'Page 5-Year 1'!E5</f>
        <v>0</v>
      </c>
      <c r="D5" s="183">
        <f>'Page 6-Year 2'!E5</f>
        <v>0</v>
      </c>
      <c r="E5" s="183">
        <f>'Page 7-Year 3'!E5</f>
        <v>0</v>
      </c>
      <c r="F5" s="180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</row>
    <row r="6" spans="1:24" ht="12.75" customHeight="1" x14ac:dyDescent="0.2">
      <c r="A6" s="182" t="s">
        <v>147</v>
      </c>
      <c r="B6" s="183">
        <f>'Page 4-Current Year'!E6</f>
        <v>0</v>
      </c>
      <c r="C6" s="183">
        <f>'Page 5-Year 1'!E6</f>
        <v>0</v>
      </c>
      <c r="D6" s="183">
        <f>'Page 6-Year 2'!E6</f>
        <v>0</v>
      </c>
      <c r="E6" s="183">
        <f>'Page 7-Year 3'!E6</f>
        <v>0</v>
      </c>
      <c r="F6" s="180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</row>
    <row r="7" spans="1:24" ht="13.5" customHeight="1" x14ac:dyDescent="0.2">
      <c r="A7" s="178" t="s">
        <v>54</v>
      </c>
      <c r="B7" s="148"/>
      <c r="C7" s="148"/>
      <c r="D7" s="148"/>
      <c r="E7" s="148"/>
      <c r="F7" s="180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</row>
    <row r="8" spans="1:24" ht="12.75" customHeight="1" x14ac:dyDescent="0.2">
      <c r="A8" s="184" t="s">
        <v>148</v>
      </c>
      <c r="B8" s="185">
        <f>'Page 4-Current Year'!E8</f>
        <v>0</v>
      </c>
      <c r="C8" s="185">
        <f>'Page 5-Year 1'!E8</f>
        <v>0</v>
      </c>
      <c r="D8" s="185">
        <f>'Page 6-Year 2'!E8</f>
        <v>0</v>
      </c>
      <c r="E8" s="185">
        <f>'Page 7-Year 3'!E8</f>
        <v>0</v>
      </c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4" ht="12.75" customHeight="1" x14ac:dyDescent="0.2">
      <c r="A9" s="184" t="s">
        <v>149</v>
      </c>
      <c r="B9" s="188">
        <f>'Page 4-Current Year'!E9</f>
        <v>0</v>
      </c>
      <c r="C9" s="188">
        <f>'Page 5-Year 1'!E9</f>
        <v>0</v>
      </c>
      <c r="D9" s="188">
        <f>'Page 6-Year 2'!E9</f>
        <v>0</v>
      </c>
      <c r="E9" s="188">
        <f>'Page 7-Year 3'!E9</f>
        <v>0</v>
      </c>
      <c r="F9" s="186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</row>
    <row r="10" spans="1:24" ht="12.75" customHeight="1" x14ac:dyDescent="0.2">
      <c r="A10" s="184" t="s">
        <v>150</v>
      </c>
      <c r="B10" s="188">
        <f>'Page 4-Current Year'!E10</f>
        <v>0</v>
      </c>
      <c r="C10" s="188">
        <f>'Page 5-Year 1'!E10</f>
        <v>0</v>
      </c>
      <c r="D10" s="188">
        <f>'Page 6-Year 2'!E10</f>
        <v>0</v>
      </c>
      <c r="E10" s="188">
        <f>'Page 7-Year 3'!E10</f>
        <v>0</v>
      </c>
      <c r="F10" s="186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</row>
    <row r="11" spans="1:24" ht="12.75" customHeight="1" x14ac:dyDescent="0.2">
      <c r="A11" s="184" t="s">
        <v>151</v>
      </c>
      <c r="B11" s="188">
        <f>'Page 4-Current Year'!E11</f>
        <v>0</v>
      </c>
      <c r="C11" s="188">
        <f>'Page 5-Year 1'!E11</f>
        <v>0</v>
      </c>
      <c r="D11" s="188">
        <f>'Page 6-Year 2'!E11</f>
        <v>0</v>
      </c>
      <c r="E11" s="188">
        <f>'Page 7-Year 3'!E11</f>
        <v>0</v>
      </c>
      <c r="F11" s="186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</row>
    <row r="12" spans="1:24" ht="12.75" customHeight="1" x14ac:dyDescent="0.2">
      <c r="A12" s="184" t="s">
        <v>152</v>
      </c>
      <c r="B12" s="188">
        <f>'Page 4-Current Year'!E12</f>
        <v>0</v>
      </c>
      <c r="C12" s="188">
        <f>'Page 5-Year 1'!E12</f>
        <v>0</v>
      </c>
      <c r="D12" s="188">
        <f>'Page 6-Year 2'!E12</f>
        <v>0</v>
      </c>
      <c r="E12" s="188">
        <f>'Page 7-Year 3'!E12</f>
        <v>0</v>
      </c>
      <c r="F12" s="186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</row>
    <row r="13" spans="1:24" ht="12.75" customHeight="1" x14ac:dyDescent="0.2">
      <c r="A13" s="184" t="s">
        <v>153</v>
      </c>
      <c r="B13" s="188">
        <f>'Page 4-Current Year'!E13</f>
        <v>0</v>
      </c>
      <c r="C13" s="188">
        <f>'Page 5-Year 1'!E13</f>
        <v>0</v>
      </c>
      <c r="D13" s="188">
        <f>'Page 6-Year 2'!E13</f>
        <v>0</v>
      </c>
      <c r="E13" s="188">
        <f>'Page 7-Year 3'!E13</f>
        <v>0</v>
      </c>
      <c r="F13" s="186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</row>
    <row r="14" spans="1:24" ht="12.75" customHeight="1" x14ac:dyDescent="0.2">
      <c r="A14" s="189" t="s">
        <v>154</v>
      </c>
      <c r="B14" s="188">
        <f>'Page 4-Current Year'!E14</f>
        <v>0</v>
      </c>
      <c r="C14" s="188">
        <f>'Page 5-Year 1'!E14</f>
        <v>0</v>
      </c>
      <c r="D14" s="188">
        <f>'Page 6-Year 2'!E14</f>
        <v>0</v>
      </c>
      <c r="E14" s="188">
        <f>'Page 7-Year 3'!E14</f>
        <v>0</v>
      </c>
      <c r="F14" s="186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</row>
    <row r="15" spans="1:24" ht="12.75" customHeight="1" x14ac:dyDescent="0.2">
      <c r="A15" s="189" t="s">
        <v>155</v>
      </c>
      <c r="B15" s="188">
        <f>'Page 4-Current Year'!E15</f>
        <v>0</v>
      </c>
      <c r="C15" s="188">
        <f>'Page 5-Year 1'!E15</f>
        <v>0</v>
      </c>
      <c r="D15" s="188">
        <f>'Page 6-Year 2'!E15</f>
        <v>0</v>
      </c>
      <c r="E15" s="188">
        <f>'Page 7-Year 3'!E15</f>
        <v>0</v>
      </c>
      <c r="F15" s="186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</row>
    <row r="16" spans="1:24" ht="12.75" customHeight="1" x14ac:dyDescent="0.2">
      <c r="A16" s="189" t="s">
        <v>156</v>
      </c>
      <c r="B16" s="188">
        <f>'Page 4-Current Year'!E16</f>
        <v>0</v>
      </c>
      <c r="C16" s="188">
        <f>'Page 5-Year 1'!E16</f>
        <v>0</v>
      </c>
      <c r="D16" s="188">
        <f>'Page 6-Year 2'!E16</f>
        <v>0</v>
      </c>
      <c r="E16" s="188">
        <f>'Page 7-Year 3'!E16</f>
        <v>0</v>
      </c>
      <c r="F16" s="186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pans="1:24" ht="12.75" customHeight="1" x14ac:dyDescent="0.2">
      <c r="A17" s="184" t="s">
        <v>157</v>
      </c>
      <c r="B17" s="188">
        <f>'Page 4-Current Year'!E17</f>
        <v>0</v>
      </c>
      <c r="C17" s="188">
        <f>'Page 5-Year 1'!E17</f>
        <v>0</v>
      </c>
      <c r="D17" s="188">
        <f>'Page 6-Year 2'!E17</f>
        <v>0</v>
      </c>
      <c r="E17" s="188">
        <f>'Page 7-Year 3'!E17</f>
        <v>0</v>
      </c>
      <c r="F17" s="186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</row>
    <row r="18" spans="1:24" ht="12.75" customHeight="1" x14ac:dyDescent="0.2">
      <c r="A18" s="184" t="s">
        <v>79</v>
      </c>
      <c r="B18" s="188">
        <f>'Page 4-Current Year'!E18</f>
        <v>500</v>
      </c>
      <c r="C18" s="188">
        <f>'Page 5-Year 1'!E18</f>
        <v>500</v>
      </c>
      <c r="D18" s="188">
        <f>'Page 6-Year 2'!E18</f>
        <v>500</v>
      </c>
      <c r="E18" s="188">
        <f>'Page 7-Year 3'!E18</f>
        <v>500</v>
      </c>
      <c r="F18" s="186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</row>
    <row r="19" spans="1:24" ht="12.75" customHeight="1" x14ac:dyDescent="0.2">
      <c r="A19" s="184" t="s">
        <v>158</v>
      </c>
      <c r="B19" s="188">
        <f>'Page 4-Current Year'!E19</f>
        <v>0</v>
      </c>
      <c r="C19" s="188">
        <f>'Page 5-Year 1'!E19</f>
        <v>0</v>
      </c>
      <c r="D19" s="188">
        <f>'Page 6-Year 2'!E19</f>
        <v>0</v>
      </c>
      <c r="E19" s="188">
        <f>'Page 7-Year 3'!E19</f>
        <v>0</v>
      </c>
      <c r="F19" s="186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</row>
    <row r="20" spans="1:24" ht="12.75" customHeight="1" x14ac:dyDescent="0.2">
      <c r="A20" s="184" t="s">
        <v>83</v>
      </c>
      <c r="B20" s="188">
        <f>'Page 4-Current Year'!E20</f>
        <v>0</v>
      </c>
      <c r="C20" s="188">
        <f>'Page 5-Year 1'!E20</f>
        <v>0</v>
      </c>
      <c r="D20" s="188">
        <f>'Page 6-Year 2'!E20</f>
        <v>0</v>
      </c>
      <c r="E20" s="188">
        <f>'Page 7-Year 3'!E20</f>
        <v>0</v>
      </c>
      <c r="F20" s="186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</row>
    <row r="21" spans="1:24" ht="12.75" customHeight="1" x14ac:dyDescent="0.2">
      <c r="A21" s="184" t="s">
        <v>281</v>
      </c>
      <c r="B21" s="188">
        <f>'Page 4-Current Year'!E21</f>
        <v>0</v>
      </c>
      <c r="C21" s="188">
        <f>'Page 5-Year 1'!E21</f>
        <v>0</v>
      </c>
      <c r="D21" s="188">
        <f>'Page 6-Year 2'!E21</f>
        <v>0</v>
      </c>
      <c r="E21" s="188">
        <f>'Page 7-Year 3'!E21</f>
        <v>0</v>
      </c>
      <c r="F21" s="186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</row>
    <row r="22" spans="1:24" ht="12.75" customHeight="1" x14ac:dyDescent="0.2">
      <c r="A22" s="184" t="s">
        <v>88</v>
      </c>
      <c r="B22" s="188">
        <f>'Page 4-Current Year'!E22</f>
        <v>0</v>
      </c>
      <c r="C22" s="188">
        <f>'Page 5-Year 1'!E22</f>
        <v>0</v>
      </c>
      <c r="D22" s="188">
        <f>'Page 6-Year 2'!E22</f>
        <v>0</v>
      </c>
      <c r="E22" s="188">
        <f>'Page 7-Year 3'!E22</f>
        <v>0</v>
      </c>
      <c r="F22" s="186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</row>
    <row r="23" spans="1:24" ht="12.75" customHeight="1" x14ac:dyDescent="0.2">
      <c r="A23" s="184" t="s">
        <v>159</v>
      </c>
      <c r="B23" s="188">
        <f>'Page 4-Current Year'!E23</f>
        <v>0</v>
      </c>
      <c r="C23" s="188">
        <f>'Page 5-Year 1'!E23</f>
        <v>0</v>
      </c>
      <c r="D23" s="188">
        <f>'Page 6-Year 2'!E23</f>
        <v>0</v>
      </c>
      <c r="E23" s="188">
        <f>'Page 7-Year 3'!E23</f>
        <v>0</v>
      </c>
      <c r="F23" s="186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</row>
    <row r="24" spans="1:24" ht="12.75" customHeight="1" x14ac:dyDescent="0.2">
      <c r="A24" s="184" t="s">
        <v>92</v>
      </c>
      <c r="B24" s="188">
        <f>'Page 4-Current Year'!E24</f>
        <v>0</v>
      </c>
      <c r="C24" s="188">
        <f>'Page 5-Year 1'!E24</f>
        <v>0</v>
      </c>
      <c r="D24" s="188">
        <f>'Page 6-Year 2'!E24</f>
        <v>0</v>
      </c>
      <c r="E24" s="188">
        <f>'Page 7-Year 3'!E24</f>
        <v>0</v>
      </c>
      <c r="F24" s="186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</row>
    <row r="25" spans="1:24" ht="12.75" customHeight="1" x14ac:dyDescent="0.2">
      <c r="A25" s="114" t="s">
        <v>273</v>
      </c>
      <c r="B25" s="188">
        <f>'Page 4-Current Year'!E25</f>
        <v>1500</v>
      </c>
      <c r="C25" s="188">
        <f>'Page 5-Year 1'!E25</f>
        <v>1500</v>
      </c>
      <c r="D25" s="188">
        <f>'Page 6-Year 2'!E25</f>
        <v>1500</v>
      </c>
      <c r="E25" s="188">
        <f>'Page 7-Year 3'!E25</f>
        <v>1500</v>
      </c>
      <c r="F25" s="186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</row>
    <row r="26" spans="1:24" ht="12.75" customHeight="1" x14ac:dyDescent="0.2">
      <c r="A26" s="184" t="s">
        <v>160</v>
      </c>
      <c r="B26" s="188">
        <f>'Page 4-Current Year'!E26</f>
        <v>0</v>
      </c>
      <c r="C26" s="188">
        <f>'Page 5-Year 1'!E26</f>
        <v>0</v>
      </c>
      <c r="D26" s="188">
        <f>'Page 6-Year 2'!E26</f>
        <v>0</v>
      </c>
      <c r="E26" s="188">
        <f>'Page 7-Year 3'!E26</f>
        <v>0</v>
      </c>
      <c r="F26" s="186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</row>
    <row r="27" spans="1:24" ht="12.75" customHeight="1" x14ac:dyDescent="0.2">
      <c r="A27" s="184" t="s">
        <v>161</v>
      </c>
      <c r="B27" s="188">
        <f>'Page 4-Current Year'!E27</f>
        <v>0</v>
      </c>
      <c r="C27" s="188">
        <f>'Page 5-Year 1'!E27</f>
        <v>0</v>
      </c>
      <c r="D27" s="188">
        <f>'Page 6-Year 2'!E27</f>
        <v>0</v>
      </c>
      <c r="E27" s="188">
        <f>'Page 7-Year 3'!E27</f>
        <v>0</v>
      </c>
      <c r="F27" s="186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1:24" ht="12.75" customHeight="1" x14ac:dyDescent="0.2">
      <c r="A28" s="184" t="s">
        <v>58</v>
      </c>
      <c r="B28" s="188">
        <f>'Page 4-Current Year'!E28</f>
        <v>0</v>
      </c>
      <c r="C28" s="188">
        <f>'Page 5-Year 1'!E28</f>
        <v>0</v>
      </c>
      <c r="D28" s="188">
        <f>'Page 6-Year 2'!E28</f>
        <v>0</v>
      </c>
      <c r="E28" s="188">
        <f>'Page 7-Year 3'!E28</f>
        <v>0</v>
      </c>
      <c r="F28" s="186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1:24" ht="12.75" customHeight="1" thickBot="1" x14ac:dyDescent="0.25">
      <c r="A29" s="189" t="s">
        <v>162</v>
      </c>
      <c r="B29" s="191">
        <f>'Page 4-Current Year'!E29</f>
        <v>0</v>
      </c>
      <c r="C29" s="191">
        <f>'Page 5-Year 1'!E29</f>
        <v>0</v>
      </c>
      <c r="D29" s="191">
        <f>'Page 6-Year 2'!E29</f>
        <v>0</v>
      </c>
      <c r="E29" s="191">
        <f>'Page 7-Year 3'!E29</f>
        <v>0</v>
      </c>
      <c r="F29" s="186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</row>
    <row r="30" spans="1:24" ht="12.75" customHeight="1" x14ac:dyDescent="0.2">
      <c r="A30" s="192" t="s">
        <v>163</v>
      </c>
      <c r="B30" s="185">
        <f t="shared" ref="B30:E30" si="0">SUM(B8:B29)</f>
        <v>2000</v>
      </c>
      <c r="C30" s="185">
        <f t="shared" si="0"/>
        <v>2000</v>
      </c>
      <c r="D30" s="185">
        <f t="shared" si="0"/>
        <v>2000</v>
      </c>
      <c r="E30" s="185">
        <f t="shared" si="0"/>
        <v>2000</v>
      </c>
      <c r="F30" s="186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1:24" ht="12.75" customHeight="1" x14ac:dyDescent="0.2">
      <c r="A31" s="193"/>
      <c r="B31" s="188"/>
      <c r="C31" s="188"/>
      <c r="D31" s="188"/>
      <c r="E31" s="188"/>
      <c r="F31" s="186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4" ht="12.75" customHeight="1" x14ac:dyDescent="0.2">
      <c r="A32" s="192" t="s">
        <v>100</v>
      </c>
      <c r="B32" s="188"/>
      <c r="C32" s="188"/>
      <c r="D32" s="188"/>
      <c r="E32" s="188"/>
      <c r="F32" s="186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</row>
    <row r="33" spans="1:24" ht="12.75" customHeight="1" x14ac:dyDescent="0.2">
      <c r="A33" s="194" t="s">
        <v>164</v>
      </c>
      <c r="B33" s="195">
        <f>'Page 4-Current Year'!E33</f>
        <v>504700</v>
      </c>
      <c r="C33" s="195">
        <f>'Page 5-Year 1'!E33</f>
        <v>504700</v>
      </c>
      <c r="D33" s="195">
        <f>'Page 6-Year 2'!E33</f>
        <v>731400</v>
      </c>
      <c r="E33" s="195">
        <f>'Page 7-Year 3'!E33</f>
        <v>970100.00000000012</v>
      </c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</row>
    <row r="34" spans="1:24" ht="12.75" customHeight="1" x14ac:dyDescent="0.2">
      <c r="A34" s="194" t="s">
        <v>216</v>
      </c>
      <c r="B34" s="188">
        <f>'Page 4-Current Year'!E34</f>
        <v>0</v>
      </c>
      <c r="C34" s="188">
        <f>'Page 5-Year 1'!E34</f>
        <v>0</v>
      </c>
      <c r="D34" s="188">
        <f>'Page 6-Year 2'!E34</f>
        <v>0</v>
      </c>
      <c r="E34" s="188">
        <f>'Page 7-Year 3'!E34</f>
        <v>0</v>
      </c>
      <c r="F34" s="186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</row>
    <row r="35" spans="1:24" ht="12.75" customHeight="1" x14ac:dyDescent="0.2">
      <c r="A35" s="194" t="s">
        <v>166</v>
      </c>
      <c r="B35" s="188">
        <f>'Page 4-Current Year'!E35</f>
        <v>7318.15</v>
      </c>
      <c r="C35" s="188">
        <f>'Page 5-Year 1'!E35</f>
        <v>7318.15</v>
      </c>
      <c r="D35" s="188">
        <f>'Page 6-Year 2'!E35</f>
        <v>10605.3</v>
      </c>
      <c r="E35" s="188">
        <f>'Page 7-Year 3'!E35</f>
        <v>14066.45</v>
      </c>
      <c r="F35" s="186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1:24" ht="12.75" customHeight="1" x14ac:dyDescent="0.2">
      <c r="A36" s="194" t="s">
        <v>167</v>
      </c>
      <c r="B36" s="188">
        <f>'Page 4-Current Year'!E36</f>
        <v>0</v>
      </c>
      <c r="C36" s="188">
        <f>'Page 5-Year 1'!E36</f>
        <v>0</v>
      </c>
      <c r="D36" s="188">
        <f>'Page 6-Year 2'!E36</f>
        <v>0</v>
      </c>
      <c r="E36" s="188">
        <f>'Page 7-Year 3'!E36</f>
        <v>0</v>
      </c>
      <c r="F36" s="186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</row>
    <row r="37" spans="1:24" ht="12.75" customHeight="1" x14ac:dyDescent="0.2">
      <c r="A37" s="194" t="s">
        <v>168</v>
      </c>
      <c r="B37" s="188">
        <f>'Page 4-Current Year'!E37</f>
        <v>105734.65</v>
      </c>
      <c r="C37" s="188">
        <f>'Page 5-Year 1'!E37</f>
        <v>105734.65</v>
      </c>
      <c r="D37" s="188">
        <f>'Page 6-Year 2'!E37</f>
        <v>153228.29999999999</v>
      </c>
      <c r="E37" s="188">
        <f>'Page 7-Year 3'!E37</f>
        <v>203235.95</v>
      </c>
      <c r="F37" s="186"/>
      <c r="G37" s="187"/>
      <c r="H37" s="196"/>
      <c r="I37" s="196"/>
      <c r="J37" s="196"/>
      <c r="K37" s="196"/>
      <c r="L37" s="196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</row>
    <row r="38" spans="1:24" ht="12.75" customHeight="1" x14ac:dyDescent="0.2">
      <c r="A38" s="194" t="s">
        <v>169</v>
      </c>
      <c r="B38" s="188">
        <f>'Page 4-Current Year'!E38</f>
        <v>0</v>
      </c>
      <c r="C38" s="188">
        <f>'Page 5-Year 1'!E38</f>
        <v>0</v>
      </c>
      <c r="D38" s="188">
        <f>'Page 6-Year 2'!E38</f>
        <v>0</v>
      </c>
      <c r="E38" s="188">
        <f>'Page 7-Year 3'!E38</f>
        <v>0</v>
      </c>
      <c r="F38" s="186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</row>
    <row r="39" spans="1:24" ht="12.75" customHeight="1" x14ac:dyDescent="0.2">
      <c r="A39" s="194" t="s">
        <v>170</v>
      </c>
      <c r="B39" s="188">
        <f>'Page 4-Current Year'!E39</f>
        <v>0</v>
      </c>
      <c r="C39" s="188">
        <f>'Page 5-Year 1'!E39</f>
        <v>0</v>
      </c>
      <c r="D39" s="188">
        <f>'Page 6-Year 2'!E39</f>
        <v>0</v>
      </c>
      <c r="E39" s="188">
        <f>'Page 7-Year 3'!E39</f>
        <v>0</v>
      </c>
      <c r="F39" s="186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</row>
    <row r="40" spans="1:24" ht="12.75" customHeight="1" x14ac:dyDescent="0.2">
      <c r="A40" s="194" t="s">
        <v>171</v>
      </c>
      <c r="B40" s="188">
        <f>'Page 4-Current Year'!E40</f>
        <v>0</v>
      </c>
      <c r="C40" s="188">
        <f>'Page 5-Year 1'!E40</f>
        <v>0</v>
      </c>
      <c r="D40" s="188">
        <f>'Page 6-Year 2'!E40</f>
        <v>0</v>
      </c>
      <c r="E40" s="188">
        <f>'Page 7-Year 3'!E40</f>
        <v>0</v>
      </c>
      <c r="F40" s="186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</row>
    <row r="41" spans="1:24" ht="12.75" customHeight="1" x14ac:dyDescent="0.2">
      <c r="A41" s="197" t="s">
        <v>172</v>
      </c>
      <c r="B41" s="188">
        <f>'Page 4-Current Year'!E41</f>
        <v>0</v>
      </c>
      <c r="C41" s="188">
        <f>'Page 5-Year 1'!E41</f>
        <v>0</v>
      </c>
      <c r="D41" s="188">
        <f>'Page 6-Year 2'!E41</f>
        <v>0</v>
      </c>
      <c r="E41" s="188">
        <f>'Page 7-Year 3'!E41</f>
        <v>0</v>
      </c>
      <c r="F41" s="186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</row>
    <row r="42" spans="1:24" ht="12.75" customHeight="1" x14ac:dyDescent="0.2">
      <c r="A42" s="194" t="s">
        <v>173</v>
      </c>
      <c r="B42" s="188">
        <f>'Page 4-Current Year'!E42</f>
        <v>0</v>
      </c>
      <c r="C42" s="188">
        <f>'Page 5-Year 1'!E42</f>
        <v>0</v>
      </c>
      <c r="D42" s="188">
        <f>'Page 6-Year 2'!E42</f>
        <v>0</v>
      </c>
      <c r="E42" s="188">
        <f>'Page 7-Year 3'!E42</f>
        <v>0</v>
      </c>
      <c r="F42" s="186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</row>
    <row r="43" spans="1:24" ht="12.75" customHeight="1" x14ac:dyDescent="0.2">
      <c r="A43" s="194" t="s">
        <v>174</v>
      </c>
      <c r="B43" s="188">
        <f>'Page 4-Current Year'!E43</f>
        <v>0</v>
      </c>
      <c r="C43" s="188">
        <f>'Page 5-Year 1'!E43</f>
        <v>0</v>
      </c>
      <c r="D43" s="188">
        <f>'Page 6-Year 2'!E43</f>
        <v>0</v>
      </c>
      <c r="E43" s="188">
        <f>'Page 7-Year 3'!E43</f>
        <v>0</v>
      </c>
      <c r="F43" s="186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</row>
    <row r="44" spans="1:24" ht="12.75" customHeight="1" x14ac:dyDescent="0.2">
      <c r="A44" s="194" t="s">
        <v>175</v>
      </c>
      <c r="B44" s="188">
        <f>'Page 4-Current Year'!E44</f>
        <v>0</v>
      </c>
      <c r="C44" s="188">
        <f>'Page 5-Year 1'!E44</f>
        <v>0</v>
      </c>
      <c r="D44" s="188">
        <f>'Page 6-Year 2'!E44</f>
        <v>0</v>
      </c>
      <c r="E44" s="188">
        <f>'Page 7-Year 3'!E44</f>
        <v>0</v>
      </c>
      <c r="F44" s="186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</row>
    <row r="45" spans="1:24" ht="12.75" customHeight="1" x14ac:dyDescent="0.2">
      <c r="A45" s="194" t="s">
        <v>176</v>
      </c>
      <c r="B45" s="188">
        <f>'Page 4-Current Year'!E45</f>
        <v>0</v>
      </c>
      <c r="C45" s="188">
        <f>'Page 5-Year 1'!E45</f>
        <v>0</v>
      </c>
      <c r="D45" s="188">
        <f>'Page 6-Year 2'!E45</f>
        <v>0</v>
      </c>
      <c r="E45" s="188">
        <f>'Page 7-Year 3'!E45</f>
        <v>0</v>
      </c>
      <c r="F45" s="186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</row>
    <row r="46" spans="1:24" ht="12.75" customHeight="1" x14ac:dyDescent="0.2">
      <c r="A46" s="194" t="s">
        <v>177</v>
      </c>
      <c r="B46" s="188">
        <f>'Page 4-Current Year'!E46</f>
        <v>0</v>
      </c>
      <c r="C46" s="188">
        <f>'Page 5-Year 1'!E46</f>
        <v>0</v>
      </c>
      <c r="D46" s="188">
        <f>'Page 6-Year 2'!E46</f>
        <v>0</v>
      </c>
      <c r="E46" s="188">
        <f>'Page 7-Year 3'!E46</f>
        <v>0</v>
      </c>
      <c r="F46" s="186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</row>
    <row r="47" spans="1:24" ht="12.75" customHeight="1" x14ac:dyDescent="0.2">
      <c r="A47" s="194" t="s">
        <v>178</v>
      </c>
      <c r="B47" s="188">
        <f>'Page 4-Current Year'!E47</f>
        <v>0</v>
      </c>
      <c r="C47" s="188">
        <f>'Page 5-Year 1'!E47</f>
        <v>0</v>
      </c>
      <c r="D47" s="188">
        <f>'Page 6-Year 2'!E47</f>
        <v>0</v>
      </c>
      <c r="E47" s="188">
        <f>'Page 7-Year 3'!E47</f>
        <v>0</v>
      </c>
      <c r="F47" s="186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</row>
    <row r="48" spans="1:24" ht="12.75" customHeight="1" x14ac:dyDescent="0.2">
      <c r="A48" s="194" t="s">
        <v>179</v>
      </c>
      <c r="B48" s="188">
        <f>'Page 4-Current Year'!E48</f>
        <v>0</v>
      </c>
      <c r="C48" s="188">
        <f>'Page 5-Year 1'!E48</f>
        <v>0</v>
      </c>
      <c r="D48" s="188">
        <f>'Page 6-Year 2'!E48</f>
        <v>0</v>
      </c>
      <c r="E48" s="188">
        <f>'Page 7-Year 3'!E48</f>
        <v>0</v>
      </c>
      <c r="F48" s="186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</row>
    <row r="49" spans="1:24" ht="12.75" customHeight="1" x14ac:dyDescent="0.2">
      <c r="A49" s="194" t="s">
        <v>218</v>
      </c>
      <c r="B49" s="188">
        <f>'Page 4-Current Year'!E49</f>
        <v>0</v>
      </c>
      <c r="C49" s="188">
        <f>'Page 5-Year 1'!E49</f>
        <v>0</v>
      </c>
      <c r="D49" s="188">
        <f>'Page 6-Year 2'!E49</f>
        <v>0</v>
      </c>
      <c r="E49" s="188">
        <f>'Page 7-Year 3'!E49</f>
        <v>0</v>
      </c>
      <c r="F49" s="186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</row>
    <row r="50" spans="1:24" ht="12.75" customHeight="1" x14ac:dyDescent="0.2">
      <c r="A50" s="194" t="s">
        <v>181</v>
      </c>
      <c r="B50" s="188">
        <f>'Page 4-Current Year'!E50</f>
        <v>0</v>
      </c>
      <c r="C50" s="188">
        <f>'Page 5-Year 1'!E50</f>
        <v>0</v>
      </c>
      <c r="D50" s="188">
        <f>'Page 6-Year 2'!E50</f>
        <v>0</v>
      </c>
      <c r="E50" s="188">
        <f>'Page 7-Year 3'!E50</f>
        <v>0</v>
      </c>
      <c r="F50" s="186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</row>
    <row r="51" spans="1:24" ht="12.75" customHeight="1" x14ac:dyDescent="0.2">
      <c r="A51" s="194" t="s">
        <v>182</v>
      </c>
      <c r="B51" s="188">
        <f>'Page 4-Current Year'!E51</f>
        <v>0</v>
      </c>
      <c r="C51" s="188">
        <f>'Page 5-Year 1'!E51</f>
        <v>0</v>
      </c>
      <c r="D51" s="188">
        <f>'Page 6-Year 2'!E51</f>
        <v>0</v>
      </c>
      <c r="E51" s="188">
        <f>'Page 7-Year 3'!E51</f>
        <v>0</v>
      </c>
      <c r="F51" s="186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</row>
    <row r="52" spans="1:24" ht="12.75" customHeight="1" x14ac:dyDescent="0.2">
      <c r="A52" s="194" t="s">
        <v>183</v>
      </c>
      <c r="B52" s="188">
        <f>'Page 4-Current Year'!E52</f>
        <v>0</v>
      </c>
      <c r="C52" s="188">
        <f>'Page 5-Year 1'!E52</f>
        <v>0</v>
      </c>
      <c r="D52" s="188">
        <f>'Page 6-Year 2'!E52</f>
        <v>0</v>
      </c>
      <c r="E52" s="188">
        <f>'Page 7-Year 3'!E52</f>
        <v>0</v>
      </c>
      <c r="F52" s="186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</row>
    <row r="53" spans="1:24" ht="12.75" customHeight="1" x14ac:dyDescent="0.2">
      <c r="A53" s="194" t="s">
        <v>184</v>
      </c>
      <c r="B53" s="188">
        <f>'Page 4-Current Year'!E53</f>
        <v>0</v>
      </c>
      <c r="C53" s="188">
        <f>'Page 5-Year 1'!E53</f>
        <v>0</v>
      </c>
      <c r="D53" s="188">
        <f>'Page 6-Year 2'!E53</f>
        <v>0</v>
      </c>
      <c r="E53" s="188">
        <f>'Page 7-Year 3'!E53</f>
        <v>0</v>
      </c>
      <c r="F53" s="186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</row>
    <row r="54" spans="1:24" ht="12.75" customHeight="1" x14ac:dyDescent="0.2">
      <c r="A54" s="194" t="s">
        <v>185</v>
      </c>
      <c r="B54" s="188">
        <f>'Page 4-Current Year'!E54</f>
        <v>0</v>
      </c>
      <c r="C54" s="188">
        <f>'Page 5-Year 1'!E54</f>
        <v>0</v>
      </c>
      <c r="D54" s="188">
        <f>'Page 6-Year 2'!E54</f>
        <v>0</v>
      </c>
      <c r="E54" s="188">
        <f>'Page 7-Year 3'!E54</f>
        <v>0</v>
      </c>
      <c r="F54" s="186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</row>
    <row r="55" spans="1:24" ht="12.75" customHeight="1" x14ac:dyDescent="0.2">
      <c r="A55" s="194" t="s">
        <v>186</v>
      </c>
      <c r="B55" s="188">
        <f>'Page 4-Current Year'!E55</f>
        <v>1514.1000000000001</v>
      </c>
      <c r="C55" s="188">
        <f>'Page 5-Year 1'!E55</f>
        <v>1514.1000000000001</v>
      </c>
      <c r="D55" s="188">
        <f>'Page 6-Year 2'!E55</f>
        <v>2194.2000000000003</v>
      </c>
      <c r="E55" s="188">
        <f>'Page 7-Year 3'!E55</f>
        <v>2910.3000000000006</v>
      </c>
      <c r="F55" s="186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</row>
    <row r="56" spans="1:24" ht="12.75" customHeight="1" x14ac:dyDescent="0.2">
      <c r="A56" s="194" t="s">
        <v>187</v>
      </c>
      <c r="B56" s="188">
        <f>'Page 4-Current Year'!E56</f>
        <v>10094</v>
      </c>
      <c r="C56" s="188">
        <f>'Page 5-Year 1'!E56</f>
        <v>10094</v>
      </c>
      <c r="D56" s="188">
        <f>'Page 6-Year 2'!E56</f>
        <v>14628</v>
      </c>
      <c r="E56" s="188">
        <f>'Page 7-Year 3'!E56</f>
        <v>19402.000000000004</v>
      </c>
      <c r="F56" s="186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</row>
    <row r="57" spans="1:24" ht="12.75" customHeight="1" x14ac:dyDescent="0.2">
      <c r="A57" s="194" t="s">
        <v>188</v>
      </c>
      <c r="B57" s="188">
        <f>'Page 4-Current Year'!E57</f>
        <v>0</v>
      </c>
      <c r="C57" s="188">
        <f>'Page 5-Year 1'!E57</f>
        <v>0</v>
      </c>
      <c r="D57" s="188">
        <f>'Page 6-Year 2'!E57</f>
        <v>0</v>
      </c>
      <c r="E57" s="188">
        <f>'Page 7-Year 3'!E57</f>
        <v>0</v>
      </c>
      <c r="F57" s="186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</row>
    <row r="58" spans="1:24" ht="12.75" customHeight="1" x14ac:dyDescent="0.2">
      <c r="A58" s="194" t="s">
        <v>189</v>
      </c>
      <c r="B58" s="188">
        <f>'Page 4-Current Year'!E58</f>
        <v>0</v>
      </c>
      <c r="C58" s="188">
        <f>'Page 5-Year 1'!E58</f>
        <v>0</v>
      </c>
      <c r="D58" s="188">
        <f>'Page 6-Year 2'!E58</f>
        <v>0</v>
      </c>
      <c r="E58" s="188">
        <f>'Page 7-Year 3'!E58</f>
        <v>0</v>
      </c>
      <c r="F58" s="186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</row>
    <row r="59" spans="1:24" ht="12.75" customHeight="1" x14ac:dyDescent="0.2">
      <c r="A59" s="197" t="s">
        <v>190</v>
      </c>
      <c r="B59" s="188">
        <f>'Page 4-Current Year'!E59</f>
        <v>0</v>
      </c>
      <c r="C59" s="188">
        <f>'Page 5-Year 1'!E59</f>
        <v>0</v>
      </c>
      <c r="D59" s="188">
        <f>'Page 6-Year 2'!E59</f>
        <v>0</v>
      </c>
      <c r="E59" s="188">
        <f>'Page 7-Year 3'!E59</f>
        <v>0</v>
      </c>
      <c r="F59" s="186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</row>
    <row r="60" spans="1:24" ht="12.75" customHeight="1" x14ac:dyDescent="0.2">
      <c r="A60" s="194" t="s">
        <v>191</v>
      </c>
      <c r="B60" s="188">
        <f>'Page 4-Current Year'!E60</f>
        <v>0</v>
      </c>
      <c r="C60" s="188">
        <f>'Page 5-Year 1'!E60</f>
        <v>0</v>
      </c>
      <c r="D60" s="188">
        <f>'Page 6-Year 2'!E60</f>
        <v>0</v>
      </c>
      <c r="E60" s="188">
        <f>'Page 7-Year 3'!E60</f>
        <v>0</v>
      </c>
      <c r="F60" s="186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</row>
    <row r="61" spans="1:24" ht="12.75" customHeight="1" x14ac:dyDescent="0.2">
      <c r="A61" s="194" t="s">
        <v>192</v>
      </c>
      <c r="B61" s="188">
        <f>'Page 4-Current Year'!E61</f>
        <v>0</v>
      </c>
      <c r="C61" s="188">
        <f>'Page 5-Year 1'!E61</f>
        <v>0</v>
      </c>
      <c r="D61" s="188">
        <f>'Page 6-Year 2'!E61</f>
        <v>0</v>
      </c>
      <c r="E61" s="188">
        <f>'Page 7-Year 3'!E61</f>
        <v>0</v>
      </c>
      <c r="F61" s="186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</row>
    <row r="62" spans="1:24" ht="12.75" customHeight="1" x14ac:dyDescent="0.2">
      <c r="A62" s="194" t="s">
        <v>193</v>
      </c>
      <c r="B62" s="188">
        <f>'Page 4-Current Year'!E62</f>
        <v>0</v>
      </c>
      <c r="C62" s="188">
        <f>'Page 5-Year 1'!E62</f>
        <v>0</v>
      </c>
      <c r="D62" s="188">
        <f>'Page 6-Year 2'!E62</f>
        <v>0</v>
      </c>
      <c r="E62" s="188">
        <f>'Page 7-Year 3'!E62</f>
        <v>0</v>
      </c>
      <c r="F62" s="186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</row>
    <row r="63" spans="1:24" ht="12.75" customHeight="1" x14ac:dyDescent="0.2">
      <c r="A63" s="194" t="s">
        <v>194</v>
      </c>
      <c r="B63" s="188">
        <f>'Page 4-Current Year'!E63</f>
        <v>0</v>
      </c>
      <c r="C63" s="188">
        <f>'Page 5-Year 1'!E63</f>
        <v>0</v>
      </c>
      <c r="D63" s="188">
        <f>'Page 6-Year 2'!E63</f>
        <v>0</v>
      </c>
      <c r="E63" s="188">
        <f>'Page 7-Year 3'!E63</f>
        <v>0</v>
      </c>
      <c r="F63" s="186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</row>
    <row r="64" spans="1:24" ht="12.75" customHeight="1" x14ac:dyDescent="0.2">
      <c r="A64" s="194" t="s">
        <v>195</v>
      </c>
      <c r="B64" s="188">
        <f>'Page 4-Current Year'!E64</f>
        <v>0</v>
      </c>
      <c r="C64" s="188">
        <f>'Page 5-Year 1'!E64</f>
        <v>0</v>
      </c>
      <c r="D64" s="188">
        <f>'Page 6-Year 2'!E64</f>
        <v>0</v>
      </c>
      <c r="E64" s="188">
        <f>'Page 7-Year 3'!E64</f>
        <v>0</v>
      </c>
      <c r="F64" s="186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</row>
    <row r="65" spans="1:24" ht="12.75" customHeight="1" x14ac:dyDescent="0.2">
      <c r="A65" s="194" t="s">
        <v>196</v>
      </c>
      <c r="B65" s="188">
        <f>'Page 4-Current Year'!E65</f>
        <v>0</v>
      </c>
      <c r="C65" s="188">
        <f>'Page 5-Year 1'!E65</f>
        <v>0</v>
      </c>
      <c r="D65" s="188">
        <f>'Page 6-Year 2'!E65</f>
        <v>0</v>
      </c>
      <c r="E65" s="188">
        <f>'Page 7-Year 3'!E65</f>
        <v>0</v>
      </c>
      <c r="F65" s="186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</row>
    <row r="66" spans="1:24" ht="12.75" customHeight="1" x14ac:dyDescent="0.2">
      <c r="A66" s="194" t="s">
        <v>197</v>
      </c>
      <c r="B66" s="188">
        <f>'Page 4-Current Year'!E66</f>
        <v>0</v>
      </c>
      <c r="C66" s="188">
        <f>'Page 5-Year 1'!E66</f>
        <v>0</v>
      </c>
      <c r="D66" s="188">
        <f>'Page 6-Year 2'!E66</f>
        <v>0</v>
      </c>
      <c r="E66" s="188">
        <f>'Page 7-Year 3'!E66</f>
        <v>0</v>
      </c>
      <c r="F66" s="186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</row>
    <row r="67" spans="1:24" ht="12.75" customHeight="1" x14ac:dyDescent="0.2">
      <c r="A67" s="194" t="s">
        <v>198</v>
      </c>
      <c r="B67" s="188">
        <f>'Page 4-Current Year'!E67</f>
        <v>0</v>
      </c>
      <c r="C67" s="188">
        <f>'Page 5-Year 1'!E67</f>
        <v>0</v>
      </c>
      <c r="D67" s="188">
        <f>'Page 6-Year 2'!E67</f>
        <v>0</v>
      </c>
      <c r="E67" s="188">
        <f>'Page 7-Year 3'!E67</f>
        <v>0</v>
      </c>
      <c r="F67" s="186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</row>
    <row r="68" spans="1:24" ht="12.75" customHeight="1" x14ac:dyDescent="0.2">
      <c r="A68" s="197" t="s">
        <v>199</v>
      </c>
      <c r="B68" s="188">
        <f>'Page 4-Current Year'!E68</f>
        <v>0</v>
      </c>
      <c r="C68" s="188">
        <f>'Page 5-Year 1'!E68</f>
        <v>0</v>
      </c>
      <c r="D68" s="188">
        <f>'Page 6-Year 2'!E68</f>
        <v>0</v>
      </c>
      <c r="E68" s="188">
        <f>'Page 7-Year 3'!E68</f>
        <v>0</v>
      </c>
      <c r="F68" s="186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</row>
    <row r="69" spans="1:24" ht="12.75" customHeight="1" x14ac:dyDescent="0.2">
      <c r="A69" s="194" t="s">
        <v>200</v>
      </c>
      <c r="B69" s="188">
        <f>'Page 4-Current Year'!E69</f>
        <v>0</v>
      </c>
      <c r="C69" s="188">
        <f>'Page 5-Year 1'!E69</f>
        <v>0</v>
      </c>
      <c r="D69" s="188">
        <f>'Page 6-Year 2'!E69</f>
        <v>0</v>
      </c>
      <c r="E69" s="188">
        <f>'Page 7-Year 3'!E69</f>
        <v>0</v>
      </c>
      <c r="F69" s="186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</row>
    <row r="70" spans="1:24" ht="12.75" customHeight="1" x14ac:dyDescent="0.2">
      <c r="A70" s="194" t="s">
        <v>201</v>
      </c>
      <c r="B70" s="188">
        <f>'Page 4-Current Year'!E70</f>
        <v>0</v>
      </c>
      <c r="C70" s="188">
        <f>'Page 5-Year 1'!E70</f>
        <v>0</v>
      </c>
      <c r="D70" s="188">
        <f>'Page 6-Year 2'!E70</f>
        <v>0</v>
      </c>
      <c r="E70" s="188">
        <f>'Page 7-Year 3'!E70</f>
        <v>0</v>
      </c>
      <c r="F70" s="186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</row>
    <row r="71" spans="1:24" ht="12.75" customHeight="1" x14ac:dyDescent="0.2">
      <c r="A71" s="194" t="s">
        <v>202</v>
      </c>
      <c r="B71" s="188">
        <f>'Page 4-Current Year'!E71</f>
        <v>0</v>
      </c>
      <c r="C71" s="188">
        <f>'Page 5-Year 1'!E71</f>
        <v>0</v>
      </c>
      <c r="D71" s="188">
        <f>'Page 6-Year 2'!E71</f>
        <v>0</v>
      </c>
      <c r="E71" s="188">
        <f>'Page 7-Year 3'!E71</f>
        <v>0</v>
      </c>
      <c r="F71" s="186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</row>
    <row r="72" spans="1:24" ht="12.75" customHeight="1" x14ac:dyDescent="0.2">
      <c r="A72" s="194" t="s">
        <v>203</v>
      </c>
      <c r="B72" s="188">
        <f>'Page 4-Current Year'!E72</f>
        <v>0</v>
      </c>
      <c r="C72" s="188">
        <f>'Page 5-Year 1'!E72</f>
        <v>0</v>
      </c>
      <c r="D72" s="188">
        <f>'Page 6-Year 2'!E72</f>
        <v>0</v>
      </c>
      <c r="E72" s="188">
        <f>'Page 7-Year 3'!E72</f>
        <v>0</v>
      </c>
      <c r="F72" s="186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</row>
    <row r="73" spans="1:24" ht="12.75" customHeight="1" x14ac:dyDescent="0.2">
      <c r="A73" s="194" t="s">
        <v>204</v>
      </c>
      <c r="B73" s="188">
        <f>'Page 4-Current Year'!E73</f>
        <v>0</v>
      </c>
      <c r="C73" s="188">
        <f>'Page 5-Year 1'!E73</f>
        <v>0</v>
      </c>
      <c r="D73" s="188">
        <f>'Page 6-Year 2'!E73</f>
        <v>0</v>
      </c>
      <c r="E73" s="188">
        <f>'Page 7-Year 3'!E73</f>
        <v>0</v>
      </c>
      <c r="F73" s="186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</row>
    <row r="74" spans="1:24" ht="12.75" customHeight="1" thickBot="1" x14ac:dyDescent="0.25">
      <c r="A74" s="194" t="s">
        <v>205</v>
      </c>
      <c r="B74" s="191">
        <f>'Page 4-Current Year'!E74</f>
        <v>0</v>
      </c>
      <c r="C74" s="191">
        <f>'Page 5-Year 1'!E74</f>
        <v>0</v>
      </c>
      <c r="D74" s="191">
        <f>'Page 6-Year 2'!E74</f>
        <v>0</v>
      </c>
      <c r="E74" s="191">
        <f>'Page 7-Year 3'!E74</f>
        <v>0</v>
      </c>
      <c r="F74" s="186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</row>
    <row r="75" spans="1:24" ht="12.75" customHeight="1" thickBot="1" x14ac:dyDescent="0.25">
      <c r="A75" s="192" t="s">
        <v>206</v>
      </c>
      <c r="B75" s="198">
        <f t="shared" ref="B75:E75" si="1">SUM(B33:B74)</f>
        <v>629360.9</v>
      </c>
      <c r="C75" s="198">
        <f t="shared" si="1"/>
        <v>629360.9</v>
      </c>
      <c r="D75" s="198">
        <f t="shared" si="1"/>
        <v>912055.8</v>
      </c>
      <c r="E75" s="198">
        <f t="shared" si="1"/>
        <v>1209714.7000000002</v>
      </c>
      <c r="F75" s="186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</row>
    <row r="76" spans="1:24" ht="6.75" customHeight="1" x14ac:dyDescent="0.2">
      <c r="A76" s="199"/>
      <c r="B76" s="188"/>
      <c r="C76" s="188"/>
      <c r="D76" s="188"/>
      <c r="E76" s="188"/>
      <c r="F76" s="186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</row>
    <row r="77" spans="1:24" ht="13.5" customHeight="1" x14ac:dyDescent="0.2">
      <c r="A77" s="200" t="s">
        <v>207</v>
      </c>
      <c r="B77" s="195">
        <f t="shared" ref="B77:E77" si="2">B30-B75</f>
        <v>-627360.9</v>
      </c>
      <c r="C77" s="195">
        <f t="shared" si="2"/>
        <v>-627360.9</v>
      </c>
      <c r="D77" s="195">
        <f t="shared" si="2"/>
        <v>-910055.8</v>
      </c>
      <c r="E77" s="195">
        <f t="shared" si="2"/>
        <v>-1207714.7000000002</v>
      </c>
      <c r="F77" s="186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</row>
    <row r="78" spans="1:24" ht="6.75" customHeight="1" x14ac:dyDescent="0.2">
      <c r="A78" s="199"/>
      <c r="B78" s="188"/>
      <c r="C78" s="188"/>
      <c r="D78" s="188"/>
      <c r="E78" s="188"/>
      <c r="F78" s="186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</row>
    <row r="79" spans="1:24" ht="13.5" customHeight="1" x14ac:dyDescent="0.2">
      <c r="A79" s="200" t="s">
        <v>215</v>
      </c>
      <c r="B79" s="188">
        <f>'Page 4-Current Year'!E79</f>
        <v>0</v>
      </c>
      <c r="C79" s="188">
        <f>'Page 5-Year 1'!E79</f>
        <v>0</v>
      </c>
      <c r="D79" s="188">
        <f>'Page 6-Year 2'!E79</f>
        <v>0</v>
      </c>
      <c r="E79" s="190">
        <f>'Page 7-Year 3'!E79</f>
        <v>0</v>
      </c>
      <c r="F79" s="186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</row>
    <row r="80" spans="1:24" ht="13.5" customHeight="1" x14ac:dyDescent="0.2">
      <c r="A80" s="197"/>
      <c r="B80" s="188"/>
      <c r="C80" s="188"/>
      <c r="D80" s="188"/>
      <c r="E80" s="190"/>
      <c r="F80" s="186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</row>
    <row r="81" spans="1:24" ht="13.5" hidden="1" customHeight="1" x14ac:dyDescent="0.2">
      <c r="A81" s="197"/>
      <c r="B81" s="191"/>
      <c r="C81" s="191"/>
      <c r="D81" s="191"/>
      <c r="E81" s="191"/>
      <c r="F81" s="186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</row>
    <row r="82" spans="1:24" ht="6" customHeight="1" x14ac:dyDescent="0.2">
      <c r="A82" s="199"/>
      <c r="B82" s="188"/>
      <c r="C82" s="188"/>
      <c r="D82" s="188"/>
      <c r="E82" s="188"/>
      <c r="F82" s="186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</row>
    <row r="83" spans="1:24" ht="12.75" customHeight="1" thickBot="1" x14ac:dyDescent="0.25">
      <c r="A83" s="192" t="s">
        <v>209</v>
      </c>
      <c r="B83" s="201">
        <f>B77-B81</f>
        <v>-627360.9</v>
      </c>
      <c r="C83" s="201">
        <f>SUM(C77:C81)</f>
        <v>-627360.9</v>
      </c>
      <c r="D83" s="201">
        <f>SUM(D77:D81)</f>
        <v>-910055.8</v>
      </c>
      <c r="E83" s="201">
        <f>SUM(E77:E81)</f>
        <v>-1207714.7000000002</v>
      </c>
      <c r="F83" s="186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</row>
    <row r="84" spans="1:24" ht="12.75" customHeight="1" thickTop="1" x14ac:dyDescent="0.2">
      <c r="A84" s="202"/>
      <c r="B84" s="22"/>
      <c r="C84" s="203"/>
      <c r="D84" s="22"/>
      <c r="E84" s="22"/>
      <c r="F84" s="17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">
      <c r="A85" s="199" t="s">
        <v>210</v>
      </c>
      <c r="B85" s="204">
        <f>'Page 4-Current Year'!E84</f>
        <v>0</v>
      </c>
      <c r="C85" s="204">
        <f>'Page 5-Year 1'!E84</f>
        <v>-627360.9</v>
      </c>
      <c r="D85" s="204">
        <f>'Page 6-Year 2'!E84</f>
        <v>-1254721.8</v>
      </c>
      <c r="E85" s="204">
        <f>'Page 7-Year 3'!E84</f>
        <v>-2164777.6</v>
      </c>
      <c r="F85" s="186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</row>
    <row r="86" spans="1:24" ht="3" customHeight="1" x14ac:dyDescent="0.2">
      <c r="A86" s="199"/>
      <c r="B86" s="205"/>
      <c r="C86" s="205"/>
      <c r="D86" s="204"/>
      <c r="E86" s="205"/>
      <c r="F86" s="186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</row>
    <row r="87" spans="1:24" ht="12.75" customHeight="1" x14ac:dyDescent="0.2">
      <c r="A87" s="199" t="s">
        <v>211</v>
      </c>
      <c r="B87" s="204">
        <f>'Page 4-Current Year'!E86</f>
        <v>-627360.9</v>
      </c>
      <c r="C87" s="204">
        <f>'Page 5-Year 1'!E85</f>
        <v>-1254721.8</v>
      </c>
      <c r="D87" s="204">
        <f>'Page 6-Year 2'!E85</f>
        <v>-2164777.6</v>
      </c>
      <c r="E87" s="204">
        <f>'Page 7-Year 3'!E85</f>
        <v>-3372492.3000000003</v>
      </c>
      <c r="F87" s="186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</row>
    <row r="88" spans="1:24" ht="20.25" customHeight="1" x14ac:dyDescent="0.2">
      <c r="A88" s="197" t="s">
        <v>287</v>
      </c>
      <c r="B88" s="206">
        <f>'Page 4-Current Year'!E87</f>
        <v>18880.827000000001</v>
      </c>
      <c r="C88" s="206">
        <f>'Page 5-Year 1'!E86</f>
        <v>18880.827000000001</v>
      </c>
      <c r="D88" s="206">
        <f>'Page 6-Year 2'!E86</f>
        <v>27361.673999999999</v>
      </c>
      <c r="E88" s="206">
        <f>'Page 7-Year 3'!E86</f>
        <v>36291.441000000006</v>
      </c>
      <c r="F88" s="186"/>
      <c r="G88" s="187"/>
      <c r="H88" s="313" t="s">
        <v>293</v>
      </c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</row>
    <row r="89" spans="1:24" ht="12.75" customHeight="1" x14ac:dyDescent="0.2">
      <c r="A89" s="197" t="s">
        <v>288</v>
      </c>
      <c r="B89" s="206">
        <f>'Page 4-Current Year'!E88</f>
        <v>-646241.72700000007</v>
      </c>
      <c r="C89" s="206">
        <f>'Page 5-Year 1'!E87</f>
        <v>-1273602.6270000001</v>
      </c>
      <c r="D89" s="206">
        <f>'Page 6-Year 2'!E87</f>
        <v>-2192139.2740000002</v>
      </c>
      <c r="E89" s="206">
        <f>'Page 7-Year 3'!E87</f>
        <v>-3408783.7410000004</v>
      </c>
      <c r="F89" s="186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</row>
    <row r="90" spans="1:24" ht="12.75" customHeight="1" thickBot="1" x14ac:dyDescent="0.25">
      <c r="A90" s="207" t="s">
        <v>289</v>
      </c>
      <c r="B90" s="208">
        <f>'Page 4-Current Year'!E89</f>
        <v>-1.0268221730965492</v>
      </c>
      <c r="C90" s="208">
        <f>'Page 5-Year 1'!E88</f>
        <v>-2.0236443461930986</v>
      </c>
      <c r="D90" s="208">
        <f>'Page 6-Year 2'!E88</f>
        <v>-2.4035144275163867</v>
      </c>
      <c r="E90" s="208">
        <f>'Page 7-Year 3'!E88</f>
        <v>-2.8178410504559461</v>
      </c>
      <c r="F90" s="209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</row>
    <row r="91" spans="1:24" ht="12.75" customHeight="1" x14ac:dyDescent="0.2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</row>
    <row r="92" spans="1:24" ht="12.75" customHeight="1" thickBo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customHeight="1" x14ac:dyDescent="0.2">
      <c r="A93" s="210" t="s">
        <v>219</v>
      </c>
      <c r="B93" s="211" t="e">
        <f>('Page 2-Staffing Plan'!B44)+((B35+B36+B37+B38+B39+B40+B55+B56)*B100)+(B34+B43+B63+B66+B67+B73)+((B53+B60+B65+B69+B70+B72)*0.75)</f>
        <v>#DIV/0!</v>
      </c>
      <c r="C93" s="211">
        <f>('Page 2-Staffing Plan'!C44)+((C35+C36+C37+C38+C39+C40+C55+C56)*C100)+(C34+C43+C63+C66+C67+C73)+((C53+C60+C65+C69+C70+C72)*0.75)</f>
        <v>513764</v>
      </c>
      <c r="D93" s="211">
        <f>('Page 2-Staffing Plan'!D44)+((D35+D36+D37+D38+D39+D40+D55+D56)*D100)+(D34+D43+D63+D66+D67+D73)+((D53+D60+D65+D69+D70+D72)*0.75)</f>
        <v>793092</v>
      </c>
      <c r="E93" s="211">
        <f>('Page 2-Staffing Plan'!E44)+((E35+E36+E37+E38+E39+E40+E55+E56)*E100)+(E34+E43+E63+E66+E67+E73)+((E53+E60+E65+E69+E70+E72)*0.75)</f>
        <v>1087384</v>
      </c>
      <c r="F93" s="2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">
      <c r="A94" s="213" t="s">
        <v>220</v>
      </c>
      <c r="B94" s="214" t="e">
        <f t="shared" ref="B94:E94" si="3">B93/B75</f>
        <v>#DIV/0!</v>
      </c>
      <c r="C94" s="214">
        <f t="shared" si="3"/>
        <v>0.81632653061224492</v>
      </c>
      <c r="D94" s="214">
        <f t="shared" si="3"/>
        <v>0.86956521739130432</v>
      </c>
      <c r="E94" s="214">
        <f t="shared" si="3"/>
        <v>0.89887640449438189</v>
      </c>
      <c r="F94" s="215"/>
      <c r="G94" s="75" t="s">
        <v>26</v>
      </c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</row>
    <row r="95" spans="1:24" ht="12.75" customHeight="1" x14ac:dyDescent="0.2">
      <c r="A95" s="216"/>
      <c r="B95" s="217"/>
      <c r="C95" s="217"/>
      <c r="D95" s="217"/>
      <c r="E95" s="217"/>
      <c r="F95" s="21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">
      <c r="A96" s="216" t="s">
        <v>221</v>
      </c>
      <c r="B96" s="219" t="e">
        <f>'Page 2-Staffing Plan'!B45+((B35+B36+B37+B38+B39+B40+B41+B55+B56)*B101)+(B42+B44+B45+B46+B47+B48+B49+B50+B51+B52+B54+B57+B58+B59+B61+B62+B64+B68+B71+B74)+((B53+B60+B65+B69+B70+B72)*0.25)</f>
        <v>#DIV/0!</v>
      </c>
      <c r="C96" s="219">
        <f>'Page 2-Staffing Plan'!C45+((C35+C36+C37+C38+C39+C40+C41+C55+C56)*C101)+(C42+C44+C45+C46+C47+C48+C49+C50+C51+C52+C54+C57+C58+C59+C61+C62+C64+C68+C71+C74)+((C53+C60+C65+C69+C70+C72)*0.25)</f>
        <v>115596.9</v>
      </c>
      <c r="D96" s="219">
        <f>'Page 2-Staffing Plan'!D45+((D35+D36+D37+D38+D39+D40+D41+D55+D56)*D101)+(D42+D44+D45+D46+D47+D48+D49+D50+D51+D52+D54+D57+D58+D59+D61+D62+D64+D68+D71+D74)+((D53+D60+D65+D69+D70+D72)*0.25)</f>
        <v>118963.8</v>
      </c>
      <c r="E96" s="219">
        <f>'Page 2-Staffing Plan'!E45+((E35+E36+E37+E38+E39+E40+E41+E55+E56)*E101)+(E42+E44+E45+E46+E47+E48+E49+E50+E51+E52+E54+E57+E58+E59+E61+E62+E64+E68+E71+E74)+((E53+E60+E65+E69+E70+E72)*0.25)</f>
        <v>122330.7</v>
      </c>
      <c r="F96" s="21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">
      <c r="A97" s="213" t="s">
        <v>220</v>
      </c>
      <c r="B97" s="214" t="e">
        <f t="shared" ref="B97:E97" si="4">B96/B75</f>
        <v>#DIV/0!</v>
      </c>
      <c r="C97" s="214">
        <f t="shared" si="4"/>
        <v>0.18367346938775508</v>
      </c>
      <c r="D97" s="214">
        <f t="shared" si="4"/>
        <v>0.13043478260869565</v>
      </c>
      <c r="E97" s="214">
        <f t="shared" si="4"/>
        <v>0.10112359550561796</v>
      </c>
      <c r="F97" s="21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</row>
    <row r="98" spans="1:24" ht="4.5" customHeight="1" thickBot="1" x14ac:dyDescent="0.25">
      <c r="A98" s="220"/>
      <c r="B98" s="221"/>
      <c r="C98" s="221"/>
      <c r="D98" s="221"/>
      <c r="E98" s="221"/>
      <c r="F98" s="2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customHeight="1" x14ac:dyDescent="0.2">
      <c r="A100" s="2" t="s">
        <v>222</v>
      </c>
      <c r="B100" s="223" t="e">
        <f>('Page 2-Staffing Plan'!B44)/('Page 2-Staffing Plan'!B44+'Page 2-Staffing Plan'!B45)</f>
        <v>#DIV/0!</v>
      </c>
      <c r="C100" s="223">
        <f>('Page 2-Staffing Plan'!C44)/('Page 2-Staffing Plan'!C44+'Page 2-Staffing Plan'!C45)</f>
        <v>0.81632653061224492</v>
      </c>
      <c r="D100" s="223">
        <f>('Page 2-Staffing Plan'!D44)/('Page 2-Staffing Plan'!D44+'Page 2-Staffing Plan'!D45)</f>
        <v>0.86956521739130432</v>
      </c>
      <c r="E100" s="223">
        <f>('Page 2-Staffing Plan'!E44)/('Page 2-Staffing Plan'!E44+'Page 2-Staffing Plan'!E45)</f>
        <v>0.898876404494382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">
      <c r="A101" s="2"/>
      <c r="B101" s="223" t="e">
        <f>('Page 2-Staffing Plan'!B45)/('Page 2-Staffing Plan'!B44+'Page 2-Staffing Plan'!B45)</f>
        <v>#DIV/0!</v>
      </c>
      <c r="C101" s="223">
        <f>('Page 2-Staffing Plan'!C45)/('Page 2-Staffing Plan'!C44+'Page 2-Staffing Plan'!C45)</f>
        <v>0.18367346938775511</v>
      </c>
      <c r="D101" s="223">
        <f>('Page 2-Staffing Plan'!D45)/('Page 2-Staffing Plan'!D44+'Page 2-Staffing Plan'!D45)</f>
        <v>0.13043478260869565</v>
      </c>
      <c r="E101" s="223">
        <f>('Page 2-Staffing Plan'!E45)/('Page 2-Staffing Plan'!E44+'Page 2-Staffing Plan'!E45)</f>
        <v>0.10112359550561796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 x14ac:dyDescent="0.2">
      <c r="A102" s="2" t="s">
        <v>223</v>
      </c>
      <c r="B102" s="64" t="e">
        <f t="shared" ref="B102:E102" si="5">B75-(B93+B96)</f>
        <v>#DIV/0!</v>
      </c>
      <c r="C102" s="64">
        <f t="shared" si="5"/>
        <v>0</v>
      </c>
      <c r="D102" s="64">
        <f t="shared" si="5"/>
        <v>0</v>
      </c>
      <c r="E102" s="64">
        <f t="shared" si="5"/>
        <v>0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">
      <c r="A103" s="2"/>
      <c r="B103" s="64"/>
      <c r="C103" s="64"/>
      <c r="D103" s="64"/>
      <c r="E103" s="6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">
      <c r="A104" s="1" t="s">
        <v>224</v>
      </c>
      <c r="B104" s="224">
        <f t="shared" ref="B104:E104" si="6">SUM(B49:B52)+B68</f>
        <v>0</v>
      </c>
      <c r="C104" s="224">
        <f t="shared" si="6"/>
        <v>0</v>
      </c>
      <c r="D104" s="224">
        <f t="shared" si="6"/>
        <v>0</v>
      </c>
      <c r="E104" s="224">
        <f t="shared" si="6"/>
        <v>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">
      <c r="A105" s="225" t="s">
        <v>225</v>
      </c>
      <c r="B105" s="226">
        <f t="shared" ref="B105:E105" si="7">B104/B75</f>
        <v>0</v>
      </c>
      <c r="C105" s="226">
        <f t="shared" si="7"/>
        <v>0</v>
      </c>
      <c r="D105" s="226">
        <f t="shared" si="7"/>
        <v>0</v>
      </c>
      <c r="E105" s="226">
        <f t="shared" si="7"/>
        <v>0</v>
      </c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</row>
  </sheetData>
  <printOptions horizontalCentered="1"/>
  <pageMargins left="0.17013888888888901" right="0.17013888888888901" top="0.45" bottom="0.79027777777777797" header="0.51180555555555496" footer="0.51180555555555496"/>
  <pageSetup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44"/>
  <sheetViews>
    <sheetView zoomScale="110" zoomScaleNormal="110" zoomScalePageLayoutView="110" workbookViewId="0">
      <selection activeCell="H5" sqref="H5"/>
    </sheetView>
  </sheetViews>
  <sheetFormatPr defaultColWidth="8.85546875" defaultRowHeight="12.75" x14ac:dyDescent="0.2"/>
  <cols>
    <col min="1" max="1" width="34" customWidth="1"/>
    <col min="2" max="5" width="14.28515625" customWidth="1"/>
    <col min="6" max="6" width="2.42578125" customWidth="1"/>
    <col min="7" max="7" width="8.7109375" customWidth="1"/>
    <col min="8" max="8" width="62.7109375" bestFit="1" customWidth="1"/>
    <col min="9" max="24" width="8.7109375" customWidth="1"/>
    <col min="25" max="1023" width="14.42578125" customWidth="1"/>
  </cols>
  <sheetData>
    <row r="1" spans="1:24" ht="18.75" x14ac:dyDescent="0.3">
      <c r="A1" s="173">
        <f>'Page 3-Assumptions'!A1</f>
        <v>0</v>
      </c>
      <c r="B1" s="174"/>
      <c r="C1" s="174"/>
      <c r="D1" s="174"/>
      <c r="E1" s="174"/>
      <c r="F1" s="17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3">
      <c r="A2" s="176" t="s">
        <v>226</v>
      </c>
      <c r="B2" s="22"/>
      <c r="C2" s="22"/>
      <c r="D2" s="22"/>
      <c r="E2" s="22"/>
      <c r="F2" s="17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7.75" customHeight="1" x14ac:dyDescent="0.2">
      <c r="A3" s="228"/>
      <c r="B3" s="107" t="s">
        <v>304</v>
      </c>
      <c r="C3" s="107" t="s">
        <v>305</v>
      </c>
      <c r="D3" s="107" t="s">
        <v>306</v>
      </c>
      <c r="E3" s="107" t="s">
        <v>307</v>
      </c>
      <c r="F3" s="229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2.75" customHeight="1" x14ac:dyDescent="0.2">
      <c r="A4" s="230" t="s">
        <v>146</v>
      </c>
      <c r="B4" s="112">
        <v>0</v>
      </c>
      <c r="C4" s="112">
        <f>'Page 5-Year 1'!E5</f>
        <v>0</v>
      </c>
      <c r="D4" s="112">
        <f>'Page 6-Year 2'!E5</f>
        <v>0</v>
      </c>
      <c r="E4" s="112">
        <f>'Page 7-Year 3'!E5</f>
        <v>0</v>
      </c>
      <c r="F4" s="229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2.75" customHeight="1" x14ac:dyDescent="0.2">
      <c r="A5" s="230" t="s">
        <v>147</v>
      </c>
      <c r="B5" s="112">
        <f>'Page 4-Current Year'!E6</f>
        <v>0</v>
      </c>
      <c r="C5" s="112">
        <f>'Page 5-Year 1'!E6</f>
        <v>0</v>
      </c>
      <c r="D5" s="112">
        <f>'Page 6-Year 2'!E6</f>
        <v>0</v>
      </c>
      <c r="E5" s="112">
        <f>'Page 7-Year 3'!E6</f>
        <v>0</v>
      </c>
      <c r="F5" s="229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ht="13.5" customHeight="1" x14ac:dyDescent="0.2">
      <c r="A6" s="228" t="s">
        <v>54</v>
      </c>
      <c r="B6" s="110"/>
      <c r="C6" s="110"/>
      <c r="D6" s="110"/>
      <c r="E6" s="110"/>
      <c r="F6" s="229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ht="12.75" customHeight="1" x14ac:dyDescent="0.2">
      <c r="A7" s="231" t="s">
        <v>227</v>
      </c>
      <c r="B7" s="138">
        <f>'Page 10-6 yr Budget-detail'!B28</f>
        <v>0</v>
      </c>
      <c r="C7" s="138">
        <f>'Page 10-6 yr Budget-detail'!C28</f>
        <v>0</v>
      </c>
      <c r="D7" s="138">
        <f>'Page 10-6 yr Budget-detail'!D28</f>
        <v>0</v>
      </c>
      <c r="E7" s="138">
        <f>'Page 10-6 yr Budget-detail'!E28</f>
        <v>0</v>
      </c>
      <c r="F7" s="17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customHeight="1" x14ac:dyDescent="0.2">
      <c r="A8" s="231" t="s">
        <v>228</v>
      </c>
      <c r="B8" s="135">
        <f>'Page 10-6 yr Budget-detail'!B29</f>
        <v>0</v>
      </c>
      <c r="C8" s="135">
        <f>'Page 10-6 yr Budget-detail'!C29</f>
        <v>0</v>
      </c>
      <c r="D8" s="135">
        <f>'Page 10-6 yr Budget-detail'!D29</f>
        <v>0</v>
      </c>
      <c r="E8" s="135">
        <f>'Page 10-6 yr Budget-detail'!E29</f>
        <v>0</v>
      </c>
      <c r="F8" s="17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2.75" customHeight="1" x14ac:dyDescent="0.2">
      <c r="A9" s="231" t="s">
        <v>229</v>
      </c>
      <c r="B9" s="135">
        <f>'Page 10-6 yr Budget-detail'!B9</f>
        <v>0</v>
      </c>
      <c r="C9" s="135">
        <f>'Page 10-6 yr Budget-detail'!C9</f>
        <v>0</v>
      </c>
      <c r="D9" s="135">
        <f>'Page 10-6 yr Budget-detail'!D9</f>
        <v>0</v>
      </c>
      <c r="E9" s="135">
        <f>'Page 10-6 yr Budget-detail'!E9</f>
        <v>0</v>
      </c>
      <c r="F9" s="17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 customHeight="1" x14ac:dyDescent="0.2">
      <c r="A10" s="231" t="s">
        <v>230</v>
      </c>
      <c r="B10" s="125">
        <f>SUM('Page 10-6 yr Budget-detail'!B15:B21)</f>
        <v>500</v>
      </c>
      <c r="C10" s="125">
        <f>SUM('Page 10-6 yr Budget-detail'!C15:C21)</f>
        <v>500</v>
      </c>
      <c r="D10" s="125">
        <f>SUM('Page 10-6 yr Budget-detail'!D15:D21)</f>
        <v>500</v>
      </c>
      <c r="E10" s="125">
        <f>SUM('Page 10-6 yr Budget-detail'!E15:E21)</f>
        <v>500</v>
      </c>
      <c r="F10" s="17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75" customHeight="1" x14ac:dyDescent="0.2">
      <c r="A11" s="231" t="s">
        <v>231</v>
      </c>
      <c r="B11" s="135">
        <f>SUM('Page 10-6 yr Budget-detail'!B22:B27)</f>
        <v>1500</v>
      </c>
      <c r="C11" s="135">
        <f>SUM('Page 10-6 yr Budget-detail'!C22:C27)</f>
        <v>1500</v>
      </c>
      <c r="D11" s="135">
        <f>SUM('Page 10-6 yr Budget-detail'!D22:D27)</f>
        <v>1500</v>
      </c>
      <c r="E11" s="135">
        <f>SUM('Page 10-6 yr Budget-detail'!E22:E27)</f>
        <v>1500</v>
      </c>
      <c r="F11" s="17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75" customHeight="1" x14ac:dyDescent="0.2">
      <c r="A12" s="231" t="s">
        <v>232</v>
      </c>
      <c r="B12" s="135">
        <f>'Page 10-6 yr Budget-detail'!B8+'Page 10-6 yr Budget-detail'!B14</f>
        <v>0</v>
      </c>
      <c r="C12" s="135">
        <f>'Page 10-6 yr Budget-detail'!C8+'Page 10-6 yr Budget-detail'!C14</f>
        <v>0</v>
      </c>
      <c r="D12" s="135">
        <f>'Page 10-6 yr Budget-detail'!D8+'Page 10-6 yr Budget-detail'!D14</f>
        <v>0</v>
      </c>
      <c r="E12" s="135">
        <f>'Page 10-6 yr Budget-detail'!E8+'Page 10-6 yr Budget-detail'!E14</f>
        <v>0</v>
      </c>
      <c r="F12" s="17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.75" customHeight="1" x14ac:dyDescent="0.2">
      <c r="A13" s="231" t="s">
        <v>233</v>
      </c>
      <c r="B13" s="125">
        <f>'Page 10-6 yr Budget-detail'!B10</f>
        <v>0</v>
      </c>
      <c r="C13" s="125">
        <f>'Page 10-6 yr Budget-detail'!C10</f>
        <v>0</v>
      </c>
      <c r="D13" s="125">
        <f>'Page 10-6 yr Budget-detail'!D10</f>
        <v>0</v>
      </c>
      <c r="E13" s="125">
        <f>'Page 10-6 yr Budget-detail'!E10</f>
        <v>0</v>
      </c>
      <c r="F13" s="17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231" t="s">
        <v>234</v>
      </c>
      <c r="B14" s="232">
        <f>'Page 10-6 yr Budget-detail'!B11+'Page 10-6 yr Budget-detail'!B12+'Page 10-6 yr Budget-detail'!B13</f>
        <v>0</v>
      </c>
      <c r="C14" s="232">
        <f>'Page 10-6 yr Budget-detail'!C11+'Page 10-6 yr Budget-detail'!C12+'Page 10-6 yr Budget-detail'!C13</f>
        <v>0</v>
      </c>
      <c r="D14" s="232">
        <f>'Page 10-6 yr Budget-detail'!D11+'Page 10-6 yr Budget-detail'!D12+'Page 10-6 yr Budget-detail'!D13</f>
        <v>0</v>
      </c>
      <c r="E14" s="232">
        <f>'Page 10-6 yr Budget-detail'!E11+'Page 10-6 yr Budget-detail'!E12+'Page 10-6 yr Budget-detail'!E13</f>
        <v>0</v>
      </c>
      <c r="F14" s="17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2.75" customHeight="1" x14ac:dyDescent="0.2">
      <c r="A15" s="233" t="s">
        <v>163</v>
      </c>
      <c r="B15" s="138">
        <f t="shared" ref="B15:E15" si="0">SUM(B7:B14)</f>
        <v>2000</v>
      </c>
      <c r="C15" s="234">
        <f t="shared" si="0"/>
        <v>2000</v>
      </c>
      <c r="D15" s="234">
        <f t="shared" si="0"/>
        <v>2000</v>
      </c>
      <c r="E15" s="234">
        <f t="shared" si="0"/>
        <v>2000</v>
      </c>
      <c r="F15" s="17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6" customHeight="1" x14ac:dyDescent="0.2">
      <c r="A16" s="235"/>
      <c r="B16" s="135"/>
      <c r="C16" s="125"/>
      <c r="D16" s="125"/>
      <c r="E16" s="125"/>
      <c r="F16" s="17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.75" customHeight="1" x14ac:dyDescent="0.2">
      <c r="A17" s="233" t="s">
        <v>100</v>
      </c>
      <c r="B17" s="135"/>
      <c r="C17" s="125"/>
      <c r="D17" s="125"/>
      <c r="E17" s="125"/>
      <c r="F17" s="17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.75" customHeight="1" x14ac:dyDescent="0.2">
      <c r="A18" s="231" t="s">
        <v>235</v>
      </c>
      <c r="B18" s="135">
        <f>SUM('Page 10-6 yr Budget-detail'!B33:B40)</f>
        <v>617752.80000000005</v>
      </c>
      <c r="C18" s="135">
        <f>SUM('Page 10-6 yr Budget-detail'!C33:C40)</f>
        <v>617752.80000000005</v>
      </c>
      <c r="D18" s="135">
        <f>SUM('Page 10-6 yr Budget-detail'!D33:D40)</f>
        <v>895233.60000000009</v>
      </c>
      <c r="E18" s="135">
        <f>SUM('Page 10-6 yr Budget-detail'!E33:E40)</f>
        <v>1187402.4000000001</v>
      </c>
      <c r="F18" s="17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.75" customHeight="1" x14ac:dyDescent="0.2">
      <c r="A19" s="231" t="s">
        <v>236</v>
      </c>
      <c r="B19" s="135">
        <f>SUM('Page 10-6 yr Budget-detail'!B61:B62)</f>
        <v>0</v>
      </c>
      <c r="C19" s="135">
        <f>SUM('Page 10-6 yr Budget-detail'!C61:C62)</f>
        <v>0</v>
      </c>
      <c r="D19" s="135">
        <f>SUM('Page 10-6 yr Budget-detail'!D61:D62)</f>
        <v>0</v>
      </c>
      <c r="E19" s="135">
        <f>SUM('Page 10-6 yr Budget-detail'!E61:E62)</f>
        <v>0</v>
      </c>
      <c r="F19" s="17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.75" customHeight="1" x14ac:dyDescent="0.2">
      <c r="A20" s="231" t="s">
        <v>237</v>
      </c>
      <c r="B20" s="135">
        <f>SUM('Page 10-6 yr Budget-detail'!B41:B48)+'Page 10-6 yr Budget-detail'!B53+SUM('Page 10-6 yr Budget-detail'!B54:B60)</f>
        <v>11608.1</v>
      </c>
      <c r="C20" s="135">
        <f>SUM('Page 10-6 yr Budget-detail'!C41:C48)+'Page 10-6 yr Budget-detail'!C53+SUM('Page 10-6 yr Budget-detail'!C54:C60)</f>
        <v>11608.1</v>
      </c>
      <c r="D20" s="135">
        <f>SUM('Page 10-6 yr Budget-detail'!D41:D48)+'Page 10-6 yr Budget-detail'!D53+SUM('Page 10-6 yr Budget-detail'!D54:D60)</f>
        <v>16822.2</v>
      </c>
      <c r="E20" s="135">
        <f>SUM('Page 10-6 yr Budget-detail'!E41:E48)+'Page 10-6 yr Budget-detail'!E53+SUM('Page 10-6 yr Budget-detail'!E54:E60)</f>
        <v>22312.300000000003</v>
      </c>
      <c r="F20" s="17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">
      <c r="A21" s="231" t="s">
        <v>238</v>
      </c>
      <c r="B21" s="135">
        <f>SUM('Page 10-6 yr Budget-detail'!B49:B52)+'Page 10-6 yr Budget-detail'!B68-B22</f>
        <v>0</v>
      </c>
      <c r="C21" s="135">
        <f>SUM('Page 10-6 yr Budget-detail'!C49:C52)+'Page 10-6 yr Budget-detail'!C68-C22</f>
        <v>0</v>
      </c>
      <c r="D21" s="135">
        <f>SUM('Page 10-6 yr Budget-detail'!D49:D52)+'Page 10-6 yr Budget-detail'!D68-D22</f>
        <v>0</v>
      </c>
      <c r="E21" s="135">
        <f>SUM('Page 10-6 yr Budget-detail'!E49:E52)+'Page 10-6 yr Budget-detail'!E68-E22</f>
        <v>0</v>
      </c>
      <c r="F21" s="17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2.75" customHeight="1" x14ac:dyDescent="0.2">
      <c r="A22" s="231" t="s">
        <v>239</v>
      </c>
      <c r="B22" s="135">
        <f>'Page 10-6 yr Budget-detail'!B52</f>
        <v>0</v>
      </c>
      <c r="C22" s="135">
        <f>'Page 10-6 yr Budget-detail'!C52</f>
        <v>0</v>
      </c>
      <c r="D22" s="135">
        <f>'Page 10-6 yr Budget-detail'!D52</f>
        <v>0</v>
      </c>
      <c r="E22" s="135">
        <f>'Page 10-6 yr Budget-detail'!E52</f>
        <v>0</v>
      </c>
      <c r="F22" s="17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231" t="s">
        <v>240</v>
      </c>
      <c r="B23" s="135">
        <f>'Page 10-6 yr Budget-detail'!B73</f>
        <v>0</v>
      </c>
      <c r="C23" s="135">
        <f>'Page 10-6 yr Budget-detail'!C73</f>
        <v>0</v>
      </c>
      <c r="D23" s="135">
        <f>'Page 10-6 yr Budget-detail'!D73</f>
        <v>0</v>
      </c>
      <c r="E23" s="135">
        <f>'Page 10-6 yr Budget-detail'!E73</f>
        <v>0</v>
      </c>
      <c r="F23" s="17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">
      <c r="A24" s="231" t="s">
        <v>241</v>
      </c>
      <c r="B24" s="135">
        <f>SUM('Page 10-6 yr Budget-detail'!B63:B65)</f>
        <v>0</v>
      </c>
      <c r="C24" s="135">
        <f>SUM('Page 10-6 yr Budget-detail'!C63:C65)</f>
        <v>0</v>
      </c>
      <c r="D24" s="135">
        <f>SUM('Page 10-6 yr Budget-detail'!D63:D65)</f>
        <v>0</v>
      </c>
      <c r="E24" s="135">
        <f>SUM('Page 10-6 yr Budget-detail'!E63:E65)</f>
        <v>0</v>
      </c>
      <c r="F24" s="17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">
      <c r="A25" s="231" t="s">
        <v>242</v>
      </c>
      <c r="B25" s="135">
        <f>SUM('Page 10-6 yr Budget-detail'!B66:B67)</f>
        <v>0</v>
      </c>
      <c r="C25" s="135">
        <f>SUM('Page 10-6 yr Budget-detail'!C66:C67)</f>
        <v>0</v>
      </c>
      <c r="D25" s="135">
        <f>SUM('Page 10-6 yr Budget-detail'!D66:D67)</f>
        <v>0</v>
      </c>
      <c r="E25" s="135">
        <f>SUM('Page 10-6 yr Budget-detail'!E66:E67)</f>
        <v>0</v>
      </c>
      <c r="F25" s="17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customHeight="1" x14ac:dyDescent="0.2">
      <c r="A26" s="231" t="s">
        <v>243</v>
      </c>
      <c r="B26" s="135">
        <f>SUM('Page 10-6 yr Budget-detail'!B70)</f>
        <v>0</v>
      </c>
      <c r="C26" s="135">
        <f>SUM('Page 10-6 yr Budget-detail'!C70)</f>
        <v>0</v>
      </c>
      <c r="D26" s="135">
        <f>SUM('Page 10-6 yr Budget-detail'!D70)</f>
        <v>0</v>
      </c>
      <c r="E26" s="135">
        <f>SUM('Page 10-6 yr Budget-detail'!E70)</f>
        <v>0</v>
      </c>
      <c r="F26" s="17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customHeight="1" x14ac:dyDescent="0.2">
      <c r="A27" s="231" t="s">
        <v>244</v>
      </c>
      <c r="B27" s="135">
        <f>SUM('Page 10-6 yr Budget-detail'!B69)</f>
        <v>0</v>
      </c>
      <c r="C27" s="135">
        <f>SUM('Page 10-6 yr Budget-detail'!C69)</f>
        <v>0</v>
      </c>
      <c r="D27" s="135">
        <f>SUM('Page 10-6 yr Budget-detail'!D69)</f>
        <v>0</v>
      </c>
      <c r="E27" s="135">
        <f>SUM('Page 10-6 yr Budget-detail'!E69)</f>
        <v>0</v>
      </c>
      <c r="F27" s="17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customHeight="1" x14ac:dyDescent="0.2">
      <c r="A28" s="231" t="s">
        <v>245</v>
      </c>
      <c r="B28" s="135">
        <f>'Page 10-6 yr Budget-detail'!B72</f>
        <v>0</v>
      </c>
      <c r="C28" s="135">
        <f>'Page 10-6 yr Budget-detail'!C72</f>
        <v>0</v>
      </c>
      <c r="D28" s="135">
        <f>'Page 10-6 yr Budget-detail'!D72</f>
        <v>0</v>
      </c>
      <c r="E28" s="135">
        <f>'Page 10-6 yr Budget-detail'!E72</f>
        <v>0</v>
      </c>
      <c r="F28" s="17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customHeight="1" x14ac:dyDescent="0.2">
      <c r="A29" s="231" t="s">
        <v>246</v>
      </c>
      <c r="B29" s="135">
        <f>'Page 10-6 yr Budget-detail'!B71+'Page 10-6 yr Budget-detail'!B74</f>
        <v>0</v>
      </c>
      <c r="C29" s="135">
        <f>'Page 10-6 yr Budget-detail'!C71+'Page 10-6 yr Budget-detail'!C74</f>
        <v>0</v>
      </c>
      <c r="D29" s="135">
        <f>'Page 10-6 yr Budget-detail'!D71+'Page 10-6 yr Budget-detail'!D74</f>
        <v>0</v>
      </c>
      <c r="E29" s="135">
        <f>'Page 10-6 yr Budget-detail'!E71+'Page 10-6 yr Budget-detail'!E74</f>
        <v>0</v>
      </c>
      <c r="F29" s="17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.75" customHeight="1" x14ac:dyDescent="0.2">
      <c r="A30" s="233" t="s">
        <v>206</v>
      </c>
      <c r="B30" s="236">
        <f t="shared" ref="B30:E30" si="1">SUM(B18:B29)</f>
        <v>629360.9</v>
      </c>
      <c r="C30" s="237">
        <f t="shared" si="1"/>
        <v>629360.9</v>
      </c>
      <c r="D30" s="237">
        <f t="shared" si="1"/>
        <v>912055.8</v>
      </c>
      <c r="E30" s="237">
        <f t="shared" si="1"/>
        <v>1209714.7000000002</v>
      </c>
      <c r="F30" s="17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2">
      <c r="A31" s="233" t="s">
        <v>207</v>
      </c>
      <c r="B31" s="135">
        <f t="shared" ref="B31:E31" si="2">B15-B30</f>
        <v>-627360.9</v>
      </c>
      <c r="C31" s="125">
        <f t="shared" si="2"/>
        <v>-627360.9</v>
      </c>
      <c r="D31" s="125">
        <f t="shared" si="2"/>
        <v>-910055.8</v>
      </c>
      <c r="E31" s="125">
        <f t="shared" si="2"/>
        <v>-1207714.7000000002</v>
      </c>
      <c r="F31" s="17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6.75" customHeight="1" x14ac:dyDescent="0.2">
      <c r="A32" s="235"/>
      <c r="B32" s="135"/>
      <c r="C32" s="125"/>
      <c r="D32" s="125"/>
      <c r="E32" s="125"/>
      <c r="F32" s="17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3.5" customHeight="1" x14ac:dyDescent="0.2">
      <c r="A33" s="233" t="s">
        <v>208</v>
      </c>
      <c r="B33" s="135">
        <f>'Page 4-Current Year'!E79</f>
        <v>0</v>
      </c>
      <c r="C33" s="125">
        <f>'Page 5-Year 1'!E79</f>
        <v>0</v>
      </c>
      <c r="D33" s="135">
        <f>'Page 6-Year 2'!E79</f>
        <v>0</v>
      </c>
      <c r="E33" s="135">
        <f>'Page 7-Year 3'!E79</f>
        <v>0</v>
      </c>
      <c r="F33" s="17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2">
      <c r="A34" s="238"/>
      <c r="B34" s="125"/>
      <c r="C34" s="125"/>
      <c r="D34" s="135"/>
      <c r="E34" s="135"/>
      <c r="F34" s="17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hidden="1" customHeight="1" x14ac:dyDescent="0.2">
      <c r="A35" s="238"/>
      <c r="B35" s="232"/>
      <c r="C35" s="232"/>
      <c r="D35" s="232"/>
      <c r="E35" s="232"/>
      <c r="F35" s="17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239" t="s">
        <v>209</v>
      </c>
      <c r="B36" s="240">
        <f>B31+B33</f>
        <v>-627360.9</v>
      </c>
      <c r="C36" s="240">
        <f t="shared" ref="C36:E36" si="3">C31+C33</f>
        <v>-627360.9</v>
      </c>
      <c r="D36" s="240">
        <f t="shared" si="3"/>
        <v>-910055.8</v>
      </c>
      <c r="E36" s="240">
        <f t="shared" si="3"/>
        <v>-1207714.7000000002</v>
      </c>
      <c r="F36" s="17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239"/>
      <c r="B37" s="241"/>
      <c r="C37" s="241"/>
      <c r="D37" s="241"/>
      <c r="E37" s="241"/>
      <c r="F37" s="17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3" customHeight="1" x14ac:dyDescent="0.2">
      <c r="A38" s="239"/>
      <c r="B38" s="241"/>
      <c r="C38" s="241"/>
      <c r="D38" s="241"/>
      <c r="E38" s="241"/>
      <c r="F38" s="17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customHeight="1" x14ac:dyDescent="0.2">
      <c r="A39" s="202" t="s">
        <v>210</v>
      </c>
      <c r="B39" s="241">
        <f>'Page 10-6 yr Budget-detail'!B85</f>
        <v>0</v>
      </c>
      <c r="C39" s="241">
        <f>'Page 10-6 yr Budget-detail'!C85</f>
        <v>-627360.9</v>
      </c>
      <c r="D39" s="241">
        <f>'Page 10-6 yr Budget-detail'!D85</f>
        <v>-1254721.8</v>
      </c>
      <c r="E39" s="241">
        <f>'Page 10-6 yr Budget-detail'!E85</f>
        <v>-2164777.6</v>
      </c>
      <c r="F39" s="17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" customHeight="1" x14ac:dyDescent="0.2">
      <c r="A40" s="202"/>
      <c r="B40" s="241"/>
      <c r="C40" s="241"/>
      <c r="D40" s="241"/>
      <c r="E40" s="241"/>
      <c r="F40" s="17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">
      <c r="A41" s="202" t="s">
        <v>211</v>
      </c>
      <c r="B41" s="241">
        <f>'Page 10-6 yr Budget-detail'!B87</f>
        <v>-627360.9</v>
      </c>
      <c r="C41" s="241">
        <f>'Page 10-6 yr Budget-detail'!C87</f>
        <v>-1254721.8</v>
      </c>
      <c r="D41" s="241">
        <f>'Page 10-6 yr Budget-detail'!D87</f>
        <v>-2164777.6</v>
      </c>
      <c r="E41" s="241">
        <f>'Page 10-6 yr Budget-detail'!E87</f>
        <v>-3372492.3000000003</v>
      </c>
      <c r="F41" s="17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238" t="s">
        <v>287</v>
      </c>
      <c r="B42" s="242">
        <f>'Page 10-6 yr Budget-detail'!B88</f>
        <v>18880.827000000001</v>
      </c>
      <c r="C42" s="242">
        <f>'Page 10-6 yr Budget-detail'!C88</f>
        <v>18880.827000000001</v>
      </c>
      <c r="D42" s="242">
        <f>'Page 10-6 yr Budget-detail'!D88</f>
        <v>27361.673999999999</v>
      </c>
      <c r="E42" s="242">
        <f>'Page 10-6 yr Budget-detail'!E88</f>
        <v>36291.441000000006</v>
      </c>
      <c r="F42" s="177"/>
      <c r="G42" s="2"/>
      <c r="H42" s="313" t="s">
        <v>293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238" t="s">
        <v>288</v>
      </c>
      <c r="B43" s="242">
        <f>'Page 10-6 yr Budget-detail'!B89</f>
        <v>-646241.72700000007</v>
      </c>
      <c r="C43" s="242">
        <f>'Page 10-6 yr Budget-detail'!C89</f>
        <v>-1273602.6270000001</v>
      </c>
      <c r="D43" s="242">
        <f>'Page 10-6 yr Budget-detail'!D89</f>
        <v>-2192139.2740000002</v>
      </c>
      <c r="E43" s="242">
        <f>'Page 10-6 yr Budget-detail'!E89</f>
        <v>-3408783.7410000004</v>
      </c>
      <c r="F43" s="17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">
      <c r="A44" s="243" t="s">
        <v>289</v>
      </c>
      <c r="B44" s="244">
        <f>IFERROR('Page 10-6 yr Budget-detail'!B90,"N/A")</f>
        <v>-1.0268221730965492</v>
      </c>
      <c r="C44" s="244">
        <f>'Page 10-6 yr Budget-detail'!C90</f>
        <v>-2.0236443461930986</v>
      </c>
      <c r="D44" s="244">
        <f>'Page 10-6 yr Budget-detail'!D90</f>
        <v>-2.4035144275163867</v>
      </c>
      <c r="E44" s="244">
        <f>'Page 10-6 yr Budget-detail'!E90</f>
        <v>-2.8178410504559461</v>
      </c>
      <c r="F44" s="24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</sheetData>
  <printOptions horizontalCentered="1"/>
  <pageMargins left="0.17013888888888901" right="0.17013888888888901" top="0.45" bottom="0.15972222222222199" header="0.51180555555555496" footer="0.51180555555555496"/>
  <pageSetup firstPageNumber="0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35"/>
  <sheetViews>
    <sheetView zoomScale="110" zoomScaleNormal="110" zoomScalePageLayoutView="110" workbookViewId="0"/>
  </sheetViews>
  <sheetFormatPr defaultColWidth="8.85546875" defaultRowHeight="12.75" x14ac:dyDescent="0.2"/>
  <cols>
    <col min="1" max="1" width="52" customWidth="1"/>
    <col min="2" max="6" width="11.42578125" customWidth="1"/>
    <col min="7" max="26" width="8.7109375" customWidth="1"/>
    <col min="27" max="1025" width="14.42578125" customWidth="1"/>
  </cols>
  <sheetData>
    <row r="1" spans="1:26" ht="12.75" customHeight="1" x14ac:dyDescent="0.2">
      <c r="A1" s="1" t="s">
        <v>247</v>
      </c>
      <c r="B1" s="246" t="s">
        <v>274</v>
      </c>
      <c r="C1" s="246" t="s">
        <v>275</v>
      </c>
      <c r="D1" s="246" t="s">
        <v>276</v>
      </c>
      <c r="E1" s="9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247" t="s">
        <v>248</v>
      </c>
      <c r="B2" s="97"/>
      <c r="C2" s="97"/>
      <c r="D2" s="97"/>
      <c r="E2" s="9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2"/>
      <c r="B3" s="97"/>
      <c r="C3" s="97"/>
      <c r="D3" s="97"/>
      <c r="E3" s="9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1" t="s">
        <v>163</v>
      </c>
      <c r="B4" s="278"/>
      <c r="C4" s="278"/>
      <c r="D4" s="278"/>
      <c r="E4" s="2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"/>
      <c r="B5" s="97"/>
      <c r="C5" s="97"/>
      <c r="D5" s="97"/>
      <c r="E5" s="9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47" t="s">
        <v>249</v>
      </c>
      <c r="B6" s="279"/>
      <c r="C6" s="279"/>
      <c r="D6" s="279"/>
      <c r="E6" s="9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47" t="s">
        <v>250</v>
      </c>
      <c r="B7" s="279"/>
      <c r="C7" s="279"/>
      <c r="D7" s="279"/>
      <c r="E7" s="9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47" t="s">
        <v>251</v>
      </c>
      <c r="B8" s="279"/>
      <c r="C8" s="279"/>
      <c r="D8" s="279"/>
      <c r="E8" s="9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47" t="s">
        <v>252</v>
      </c>
      <c r="B9" s="279"/>
      <c r="C9" s="279"/>
      <c r="D9" s="279"/>
      <c r="E9" s="9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47" t="s">
        <v>253</v>
      </c>
      <c r="B10" s="279"/>
      <c r="C10" s="279"/>
      <c r="D10" s="279"/>
      <c r="E10" s="9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47" t="s">
        <v>254</v>
      </c>
      <c r="B11" s="279"/>
      <c r="C11" s="279"/>
      <c r="D11" s="279"/>
      <c r="E11" s="9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47" t="s">
        <v>255</v>
      </c>
      <c r="B12" s="279"/>
      <c r="C12" s="279"/>
      <c r="D12" s="279"/>
      <c r="E12" s="9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47" t="s">
        <v>256</v>
      </c>
      <c r="B13" s="279"/>
      <c r="C13" s="279"/>
      <c r="D13" s="279"/>
      <c r="E13" s="9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47" t="s">
        <v>257</v>
      </c>
      <c r="B14" s="279"/>
      <c r="C14" s="279"/>
      <c r="D14" s="279"/>
      <c r="E14" s="9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47" t="s">
        <v>258</v>
      </c>
      <c r="B15" s="279"/>
      <c r="C15" s="279"/>
      <c r="D15" s="279"/>
      <c r="E15" s="9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47" t="s">
        <v>259</v>
      </c>
      <c r="B16" s="279"/>
      <c r="C16" s="279"/>
      <c r="D16" s="279"/>
      <c r="E16" s="9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47" t="s">
        <v>260</v>
      </c>
      <c r="B17" s="279"/>
      <c r="C17" s="279"/>
      <c r="D17" s="279"/>
      <c r="E17" s="9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47" t="s">
        <v>261</v>
      </c>
      <c r="B18" s="279"/>
      <c r="C18" s="279"/>
      <c r="D18" s="279"/>
      <c r="E18" s="9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47" t="s">
        <v>262</v>
      </c>
      <c r="B19" s="279"/>
      <c r="C19" s="279"/>
      <c r="D19" s="279"/>
      <c r="E19" s="9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47" t="s">
        <v>263</v>
      </c>
      <c r="B20" s="279"/>
      <c r="C20" s="279"/>
      <c r="D20" s="279"/>
      <c r="E20" s="9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47" t="s">
        <v>264</v>
      </c>
      <c r="B21" s="279"/>
      <c r="C21" s="279"/>
      <c r="D21" s="279"/>
      <c r="E21" s="9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 t="s">
        <v>265</v>
      </c>
      <c r="B22" s="279"/>
      <c r="C22" s="279"/>
      <c r="D22" s="279"/>
      <c r="E22" s="9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279"/>
      <c r="C23" s="279"/>
      <c r="D23" s="279"/>
      <c r="E23" s="9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79"/>
      <c r="C24" s="279"/>
      <c r="D24" s="279"/>
      <c r="E24" s="9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79"/>
      <c r="C25" s="279"/>
      <c r="D25" s="279"/>
      <c r="E25" s="9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79"/>
      <c r="C26" s="279"/>
      <c r="D26" s="279"/>
      <c r="E26" s="9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79"/>
      <c r="C27" s="279"/>
      <c r="D27" s="279"/>
      <c r="E27" s="9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79"/>
      <c r="C28" s="279"/>
      <c r="D28" s="279"/>
      <c r="E28" s="9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79"/>
      <c r="C29" s="279"/>
      <c r="D29" s="279"/>
      <c r="E29" s="9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79"/>
      <c r="C30" s="279"/>
      <c r="D30" s="279"/>
      <c r="E30" s="9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79"/>
      <c r="C31" s="279"/>
      <c r="D31" s="279"/>
      <c r="E31" s="9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80"/>
      <c r="C32" s="280"/>
      <c r="D32" s="280"/>
      <c r="E32" s="9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 t="s">
        <v>140</v>
      </c>
      <c r="B33" s="248">
        <f>SUM(B6:B32)</f>
        <v>0</v>
      </c>
      <c r="C33" s="248">
        <f>SUM(C6:C32)</f>
        <v>0</v>
      </c>
      <c r="D33" s="248">
        <f>SUM(D6:D32)</f>
        <v>0</v>
      </c>
      <c r="E33" s="24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"/>
      <c r="B34" s="97"/>
      <c r="C34" s="97"/>
      <c r="D34" s="97"/>
      <c r="E34" s="9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 t="s">
        <v>266</v>
      </c>
      <c r="B35" s="97">
        <f>B4-B33</f>
        <v>0</v>
      </c>
      <c r="C35" s="97">
        <f t="shared" ref="C35:D35" si="0">C4-C33</f>
        <v>0</v>
      </c>
      <c r="D35" s="97">
        <f t="shared" si="0"/>
        <v>0</v>
      </c>
      <c r="E35" s="9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</sheetData>
  <pageMargins left="0.7" right="0.7" top="0.75" bottom="0.75" header="0.51180555555555496" footer="0.51180555555555496"/>
  <pageSetup firstPageNumber="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zoomScale="110" zoomScaleNormal="110" zoomScalePageLayoutView="110" workbookViewId="0">
      <selection activeCell="M19" sqref="M19"/>
    </sheetView>
  </sheetViews>
  <sheetFormatPr defaultColWidth="8.85546875" defaultRowHeight="12.75" x14ac:dyDescent="0.2"/>
  <cols>
    <col min="1" max="11" width="11.42578125" customWidth="1"/>
    <col min="12" max="26" width="8.7109375" customWidth="1"/>
    <col min="27" max="1025" width="14.42578125" customWidth="1"/>
  </cols>
  <sheetData>
    <row r="1" spans="1:26" ht="12.75" customHeight="1" x14ac:dyDescent="0.2">
      <c r="A1" s="10"/>
      <c r="B1" s="10"/>
      <c r="C1" s="10"/>
      <c r="D1" s="10"/>
      <c r="E1" s="10"/>
      <c r="F1" s="10"/>
      <c r="G1" s="10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0"/>
      <c r="B2" s="10"/>
      <c r="C2" s="10"/>
      <c r="D2" s="10"/>
      <c r="E2" s="10"/>
      <c r="F2" s="10"/>
      <c r="G2" s="10"/>
      <c r="H2" s="1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0"/>
      <c r="B3" s="10"/>
      <c r="C3" s="10"/>
      <c r="D3" s="10"/>
      <c r="E3" s="10"/>
      <c r="F3" s="10"/>
      <c r="G3" s="10"/>
      <c r="H3" s="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10"/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0"/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10"/>
      <c r="B7" s="10"/>
      <c r="C7" s="10"/>
      <c r="D7" s="10"/>
      <c r="E7" s="10"/>
      <c r="F7" s="10"/>
      <c r="G7" s="10"/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10"/>
      <c r="B8" s="10"/>
      <c r="C8" s="10"/>
      <c r="D8" s="10"/>
      <c r="E8" s="10"/>
      <c r="F8" s="10"/>
      <c r="G8" s="10"/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0"/>
      <c r="B9" s="10"/>
      <c r="C9" s="10"/>
      <c r="D9" s="10"/>
      <c r="E9" s="10"/>
      <c r="F9" s="10"/>
      <c r="G9" s="10"/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0"/>
      <c r="B10" s="10"/>
      <c r="C10" s="11" t="s">
        <v>26</v>
      </c>
      <c r="D10" s="12" t="s">
        <v>27</v>
      </c>
      <c r="E10" s="11"/>
      <c r="F10" s="10"/>
      <c r="G10" s="10"/>
      <c r="H10" s="1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0"/>
      <c r="B11" s="10"/>
      <c r="C11" s="10"/>
      <c r="D11" s="10"/>
      <c r="E11" s="10"/>
      <c r="F11" s="10"/>
      <c r="G11" s="10"/>
      <c r="H11" s="1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10"/>
      <c r="B12" s="10"/>
      <c r="C12" s="10"/>
      <c r="D12" s="10"/>
      <c r="E12" s="10"/>
      <c r="F12" s="10"/>
      <c r="G12" s="10"/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0"/>
      <c r="B13" s="10"/>
      <c r="C13" s="10"/>
      <c r="D13" s="10"/>
      <c r="E13" s="10"/>
      <c r="F13" s="10"/>
      <c r="G13" s="10"/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0"/>
      <c r="B14" s="10"/>
      <c r="C14" s="10"/>
      <c r="D14" s="10"/>
      <c r="E14" s="10"/>
      <c r="F14" s="10"/>
      <c r="G14" s="10"/>
      <c r="H14" s="1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0"/>
      <c r="B15" s="10"/>
      <c r="C15" s="10"/>
      <c r="D15" s="10"/>
      <c r="E15" s="10"/>
      <c r="F15" s="10"/>
      <c r="G15" s="10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0"/>
      <c r="B16" s="10"/>
      <c r="C16" s="10"/>
      <c r="D16" s="10"/>
      <c r="E16" s="10"/>
      <c r="F16" s="10"/>
      <c r="G16" s="10"/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6.5" customHeight="1" x14ac:dyDescent="0.2">
      <c r="A17" s="330"/>
      <c r="B17" s="330"/>
      <c r="C17" s="330"/>
      <c r="D17" s="330"/>
      <c r="E17" s="330"/>
      <c r="F17" s="330"/>
      <c r="G17" s="330"/>
      <c r="H17" s="330"/>
      <c r="I17" s="2"/>
      <c r="J17" s="2"/>
      <c r="K17" s="2" t="s">
        <v>26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6.5" customHeight="1" x14ac:dyDescent="0.2">
      <c r="A18" s="330"/>
      <c r="B18" s="330"/>
      <c r="C18" s="330"/>
      <c r="D18" s="330"/>
      <c r="E18" s="330"/>
      <c r="F18" s="330"/>
      <c r="G18" s="330"/>
      <c r="H18" s="33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0"/>
      <c r="B19" s="10"/>
      <c r="C19" s="10"/>
      <c r="D19" s="10"/>
      <c r="E19" s="10"/>
      <c r="F19" s="10"/>
      <c r="G19" s="10"/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0"/>
      <c r="B20" s="10"/>
      <c r="C20" s="10"/>
      <c r="D20" s="10"/>
      <c r="E20" s="10"/>
      <c r="F20" s="10"/>
      <c r="G20" s="10"/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 x14ac:dyDescent="0.45">
      <c r="A21" s="331" t="s">
        <v>303</v>
      </c>
      <c r="B21" s="331"/>
      <c r="C21" s="331"/>
      <c r="D21" s="331"/>
      <c r="E21" s="331"/>
      <c r="F21" s="331"/>
      <c r="G21" s="331"/>
      <c r="H21" s="33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0"/>
      <c r="B22" s="10"/>
      <c r="C22" s="10"/>
      <c r="D22" s="10"/>
      <c r="E22" s="10"/>
      <c r="F22" s="10"/>
      <c r="G22" s="10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0"/>
      <c r="B23" s="10"/>
      <c r="C23" s="10"/>
      <c r="D23" s="10"/>
      <c r="E23" s="10"/>
      <c r="F23" s="10"/>
      <c r="G23" s="10"/>
      <c r="H23" s="1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35">
      <c r="A24" s="332" t="s">
        <v>28</v>
      </c>
      <c r="B24" s="332"/>
      <c r="C24" s="332"/>
      <c r="D24" s="332"/>
      <c r="E24" s="332"/>
      <c r="F24" s="332"/>
      <c r="G24" s="332"/>
      <c r="H24" s="33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7.75" customHeight="1" x14ac:dyDescent="0.35">
      <c r="A28" s="328" t="s">
        <v>29</v>
      </c>
      <c r="B28" s="328"/>
      <c r="C28" s="328"/>
      <c r="D28" s="328"/>
      <c r="E28" s="328"/>
      <c r="F28" s="328"/>
      <c r="G28" s="328"/>
      <c r="H28" s="32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7.75" customHeight="1" x14ac:dyDescent="0.3">
      <c r="A29" s="333"/>
      <c r="B29" s="333"/>
      <c r="C29" s="333"/>
      <c r="D29" s="333"/>
      <c r="E29" s="333"/>
      <c r="F29" s="333"/>
      <c r="G29" s="333"/>
      <c r="H29" s="3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0"/>
      <c r="B30" s="10"/>
      <c r="C30" s="10"/>
      <c r="D30" s="10"/>
      <c r="E30" s="10"/>
      <c r="F30" s="10"/>
      <c r="G30" s="10"/>
      <c r="H30" s="1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35">
      <c r="A31" s="328" t="s">
        <v>30</v>
      </c>
      <c r="B31" s="328"/>
      <c r="C31" s="328"/>
      <c r="D31" s="328"/>
      <c r="E31" s="328"/>
      <c r="F31" s="328"/>
      <c r="G31" s="328"/>
      <c r="H31" s="3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329"/>
      <c r="B32" s="329"/>
      <c r="C32" s="329"/>
      <c r="D32" s="329"/>
      <c r="E32" s="329"/>
      <c r="F32" s="329"/>
      <c r="G32" s="329"/>
      <c r="H32" s="32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0"/>
      <c r="B33" s="10"/>
      <c r="C33" s="10"/>
      <c r="D33" s="10"/>
      <c r="E33" s="13"/>
      <c r="F33" s="10"/>
      <c r="G33" s="10"/>
      <c r="H33" s="1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0"/>
      <c r="B34" s="10"/>
      <c r="C34" s="10"/>
      <c r="D34" s="10"/>
      <c r="E34" s="10"/>
      <c r="F34" s="10"/>
      <c r="G34" s="10"/>
      <c r="H34" s="1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0"/>
      <c r="B35" s="10"/>
      <c r="C35" s="10"/>
      <c r="D35" s="10"/>
      <c r="E35" s="10"/>
      <c r="F35" s="10"/>
      <c r="G35" s="10"/>
      <c r="H35" s="1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0"/>
      <c r="B36" s="10"/>
      <c r="C36" s="10"/>
      <c r="D36" s="10"/>
      <c r="E36" s="10"/>
      <c r="F36" s="10"/>
      <c r="G36" s="10"/>
      <c r="H36" s="1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0"/>
      <c r="B37" s="10"/>
      <c r="C37" s="10"/>
      <c r="D37" s="10"/>
      <c r="E37" s="10"/>
      <c r="F37" s="10"/>
      <c r="G37" s="10"/>
      <c r="H37" s="1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0"/>
      <c r="B38" s="10"/>
      <c r="C38" s="10"/>
      <c r="D38" s="10"/>
      <c r="E38" s="10"/>
      <c r="F38" s="10"/>
      <c r="G38" s="10"/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0"/>
      <c r="B39" s="10"/>
      <c r="C39" s="10"/>
      <c r="D39" s="10"/>
      <c r="E39" s="10"/>
      <c r="F39" s="10"/>
      <c r="G39" s="10"/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0"/>
      <c r="B40" s="10"/>
      <c r="C40" s="10"/>
      <c r="D40" s="10"/>
      <c r="E40" s="10"/>
      <c r="F40" s="10"/>
      <c r="G40" s="10"/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0"/>
      <c r="B41" s="10"/>
      <c r="C41" s="10"/>
      <c r="D41" s="10"/>
      <c r="E41" s="10"/>
      <c r="F41" s="10"/>
      <c r="G41" s="10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0"/>
      <c r="B42" s="10"/>
      <c r="C42" s="10"/>
      <c r="D42" s="10"/>
      <c r="E42" s="10"/>
      <c r="F42" s="10"/>
      <c r="G42" s="10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0"/>
      <c r="B43" s="10"/>
      <c r="C43" s="10"/>
      <c r="D43" s="10"/>
      <c r="E43" s="10"/>
      <c r="F43" s="10"/>
      <c r="G43" s="10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mergeCells count="7">
    <mergeCell ref="A31:H31"/>
    <mergeCell ref="A32:H32"/>
    <mergeCell ref="A17:H18"/>
    <mergeCell ref="A21:H21"/>
    <mergeCell ref="A24:H24"/>
    <mergeCell ref="A28:H28"/>
    <mergeCell ref="A29:H29"/>
  </mergeCells>
  <pageMargins left="0.7" right="0.7" top="0.75" bottom="0.75" header="0.51180555555555496" footer="0.51180555555555496"/>
  <pageSetup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"/>
  <sheetViews>
    <sheetView zoomScale="130" zoomScaleNormal="130" zoomScalePageLayoutView="110" workbookViewId="0">
      <selection activeCell="B24" sqref="B24"/>
    </sheetView>
  </sheetViews>
  <sheetFormatPr defaultColWidth="8.85546875" defaultRowHeight="12.75" x14ac:dyDescent="0.2"/>
  <cols>
    <col min="1" max="1" width="16.28515625" customWidth="1"/>
    <col min="2" max="2" width="12" customWidth="1"/>
    <col min="3" max="5" width="12.7109375" customWidth="1"/>
    <col min="6" max="7" width="4.5703125" customWidth="1"/>
    <col min="8" max="11" width="13.5703125" customWidth="1"/>
    <col min="12" max="13" width="11.42578125" customWidth="1"/>
    <col min="14" max="25" width="8.7109375" customWidth="1"/>
    <col min="26" max="1024" width="14.42578125" customWidth="1"/>
  </cols>
  <sheetData>
    <row r="1" spans="1:25" ht="12.75" customHeight="1" x14ac:dyDescent="0.3">
      <c r="A1" s="14">
        <f>'Page 3-Assumptions'!A1</f>
        <v>0</v>
      </c>
      <c r="B1" s="14"/>
      <c r="C1" s="15"/>
      <c r="D1" s="15"/>
      <c r="E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2.75" customHeight="1" x14ac:dyDescent="0.3">
      <c r="A2" s="14" t="s">
        <v>31</v>
      </c>
      <c r="B2" s="14"/>
      <c r="C2" s="15"/>
      <c r="D2" s="15"/>
      <c r="E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2.75" customHeight="1" x14ac:dyDescent="0.25">
      <c r="A3" s="16"/>
      <c r="B3" s="16"/>
      <c r="C3" s="2"/>
      <c r="D3" s="2"/>
      <c r="E3" s="2"/>
      <c r="I3" s="2"/>
      <c r="J3" s="2"/>
      <c r="K3" s="15"/>
      <c r="L3" s="15"/>
      <c r="M3" s="1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286" customFormat="1" ht="37.5" customHeight="1" x14ac:dyDescent="0.25">
      <c r="A4" s="285"/>
      <c r="B4" s="335" t="s">
        <v>283</v>
      </c>
      <c r="C4" s="335"/>
      <c r="D4" s="335"/>
      <c r="E4" s="335"/>
      <c r="F4" s="289"/>
      <c r="G4" s="289"/>
      <c r="H4" s="335" t="s">
        <v>284</v>
      </c>
      <c r="I4" s="335"/>
      <c r="J4" s="335"/>
      <c r="K4" s="336"/>
      <c r="L4" s="287"/>
      <c r="M4" s="287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</row>
    <row r="5" spans="1:25" s="324" customFormat="1" ht="32.25" customHeight="1" x14ac:dyDescent="0.2">
      <c r="A5" s="318"/>
      <c r="B5" s="319" t="str">
        <f>'Page 11-6 yr Budget Summary'!B3</f>
        <v>FY 2020-21 Estimate</v>
      </c>
      <c r="C5" s="319" t="str">
        <f>'Page 11-6 yr Budget Summary'!C3</f>
        <v>FY 2021 -22</v>
      </c>
      <c r="D5" s="319" t="str">
        <f>'Page 11-6 yr Budget Summary'!D3</f>
        <v>FY 2022-23</v>
      </c>
      <c r="E5" s="319" t="str">
        <f>'Page 11-6 yr Budget Summary'!E3</f>
        <v>FY 2023-24</v>
      </c>
      <c r="F5" s="320"/>
      <c r="G5" s="320"/>
      <c r="H5" s="319" t="str">
        <f>'Page 11-6 yr Budget Summary'!B3</f>
        <v>FY 2020-21 Estimate</v>
      </c>
      <c r="I5" s="321" t="str">
        <f>'Page 11-6 yr Budget Summary'!C3</f>
        <v>FY 2021 -22</v>
      </c>
      <c r="J5" s="321" t="str">
        <f>'Page 11-6 yr Budget Summary'!D3</f>
        <v>FY 2022-23</v>
      </c>
      <c r="K5" s="321" t="str">
        <f>'Page 11-6 yr Budget Summary'!E3</f>
        <v>FY 2023-24</v>
      </c>
      <c r="L5" s="322"/>
      <c r="M5" s="322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</row>
    <row r="6" spans="1:25" ht="12.75" customHeight="1" x14ac:dyDescent="0.25">
      <c r="A6" s="18" t="s">
        <v>32</v>
      </c>
      <c r="B6" s="281"/>
      <c r="C6" s="281"/>
      <c r="D6" s="281"/>
      <c r="E6" s="281"/>
      <c r="F6" s="290"/>
      <c r="G6" s="290"/>
      <c r="H6" s="281"/>
      <c r="I6" s="281"/>
      <c r="J6" s="281"/>
      <c r="K6" s="281"/>
      <c r="L6" s="15"/>
      <c r="M6" s="1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customHeight="1" x14ac:dyDescent="0.25">
      <c r="A7" s="18" t="s">
        <v>285</v>
      </c>
      <c r="B7" s="281"/>
      <c r="C7" s="281"/>
      <c r="D7" s="281"/>
      <c r="E7" s="281"/>
      <c r="F7" s="290"/>
      <c r="G7" s="290"/>
      <c r="H7" s="281"/>
      <c r="I7" s="281"/>
      <c r="J7" s="281"/>
      <c r="K7" s="281"/>
      <c r="L7" s="15"/>
      <c r="M7" s="1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 x14ac:dyDescent="0.25">
      <c r="A8" s="18">
        <v>1</v>
      </c>
      <c r="B8" s="281"/>
      <c r="C8" s="281"/>
      <c r="D8" s="281"/>
      <c r="E8" s="281"/>
      <c r="F8" s="290"/>
      <c r="G8" s="290"/>
      <c r="H8" s="281"/>
      <c r="I8" s="281"/>
      <c r="J8" s="281"/>
      <c r="K8" s="281"/>
      <c r="L8" s="15"/>
      <c r="M8" s="1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18">
        <v>2</v>
      </c>
      <c r="B9" s="281"/>
      <c r="C9" s="281"/>
      <c r="D9" s="281"/>
      <c r="E9" s="281"/>
      <c r="F9" s="290"/>
      <c r="G9" s="290"/>
      <c r="H9" s="281"/>
      <c r="I9" s="281"/>
      <c r="J9" s="281"/>
      <c r="K9" s="281"/>
      <c r="L9" s="15"/>
      <c r="M9" s="1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x14ac:dyDescent="0.25">
      <c r="A10" s="18">
        <v>3</v>
      </c>
      <c r="B10" s="281"/>
      <c r="C10" s="281"/>
      <c r="D10" s="281"/>
      <c r="E10" s="281"/>
      <c r="F10" s="290"/>
      <c r="G10" s="290"/>
      <c r="H10" s="281"/>
      <c r="I10" s="281"/>
      <c r="J10" s="281"/>
      <c r="K10" s="281"/>
      <c r="L10" s="15"/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 x14ac:dyDescent="0.25">
      <c r="A11" s="18">
        <v>4</v>
      </c>
      <c r="B11" s="281"/>
      <c r="C11" s="281"/>
      <c r="D11" s="281"/>
      <c r="E11" s="281"/>
      <c r="F11" s="290"/>
      <c r="G11" s="290"/>
      <c r="H11" s="281"/>
      <c r="I11" s="281"/>
      <c r="J11" s="281"/>
      <c r="K11" s="281"/>
      <c r="L11" s="15"/>
      <c r="M11" s="1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 x14ac:dyDescent="0.25">
      <c r="A12" s="18">
        <v>5</v>
      </c>
      <c r="B12" s="281"/>
      <c r="C12" s="281"/>
      <c r="D12" s="281"/>
      <c r="E12" s="281"/>
      <c r="F12" s="290"/>
      <c r="G12" s="290"/>
      <c r="H12" s="281"/>
      <c r="I12" s="281"/>
      <c r="J12" s="281"/>
      <c r="K12" s="281"/>
      <c r="L12" s="15"/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 x14ac:dyDescent="0.25">
      <c r="A13" s="18">
        <v>6</v>
      </c>
      <c r="B13" s="281"/>
      <c r="C13" s="281"/>
      <c r="D13" s="281"/>
      <c r="E13" s="281"/>
      <c r="F13" s="290"/>
      <c r="G13" s="290"/>
      <c r="H13" s="281"/>
      <c r="I13" s="281"/>
      <c r="J13" s="281"/>
      <c r="K13" s="281"/>
      <c r="L13" s="15"/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18">
        <v>7</v>
      </c>
      <c r="B14" s="281"/>
      <c r="C14" s="281"/>
      <c r="D14" s="281"/>
      <c r="E14" s="281"/>
      <c r="F14" s="290"/>
      <c r="G14" s="290"/>
      <c r="H14" s="281"/>
      <c r="I14" s="281"/>
      <c r="J14" s="281"/>
      <c r="K14" s="281"/>
      <c r="L14" s="15"/>
      <c r="M14" s="1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18">
        <v>8</v>
      </c>
      <c r="B15" s="281"/>
      <c r="C15" s="281"/>
      <c r="D15" s="281"/>
      <c r="E15" s="281"/>
      <c r="F15" s="290"/>
      <c r="G15" s="290"/>
      <c r="H15" s="281"/>
      <c r="I15" s="281"/>
      <c r="J15" s="281"/>
      <c r="K15" s="281"/>
      <c r="L15" s="15"/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18">
        <v>9</v>
      </c>
      <c r="B16" s="281"/>
      <c r="C16" s="281"/>
      <c r="D16" s="281"/>
      <c r="E16" s="281"/>
      <c r="F16" s="290"/>
      <c r="G16" s="290"/>
      <c r="H16" s="281"/>
      <c r="I16" s="281"/>
      <c r="J16" s="281"/>
      <c r="K16" s="281"/>
      <c r="L16" s="15"/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customHeight="1" x14ac:dyDescent="0.25">
      <c r="A17" s="18">
        <v>10</v>
      </c>
      <c r="B17" s="281"/>
      <c r="C17" s="281"/>
      <c r="D17" s="281"/>
      <c r="E17" s="281"/>
      <c r="F17" s="290"/>
      <c r="G17" s="290"/>
      <c r="H17" s="281"/>
      <c r="I17" s="281"/>
      <c r="J17" s="281"/>
      <c r="K17" s="281"/>
      <c r="L17" s="15"/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18">
        <v>11</v>
      </c>
      <c r="B18" s="281"/>
      <c r="C18" s="281"/>
      <c r="D18" s="281"/>
      <c r="E18" s="281"/>
      <c r="F18" s="290"/>
      <c r="G18" s="290"/>
      <c r="H18" s="281"/>
      <c r="I18" s="281"/>
      <c r="J18" s="281"/>
      <c r="K18" s="281"/>
      <c r="L18" s="15"/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thickBot="1" x14ac:dyDescent="0.3">
      <c r="A19" s="18">
        <v>12</v>
      </c>
      <c r="B19" s="282"/>
      <c r="C19" s="282"/>
      <c r="D19" s="282"/>
      <c r="E19" s="282"/>
      <c r="F19" s="290"/>
      <c r="G19" s="290"/>
      <c r="H19" s="282"/>
      <c r="I19" s="282"/>
      <c r="J19" s="282"/>
      <c r="K19" s="282"/>
      <c r="L19" s="15"/>
      <c r="M19" s="1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 x14ac:dyDescent="0.2">
      <c r="A20" s="290"/>
      <c r="B20" s="290"/>
      <c r="C20" s="290"/>
      <c r="D20" s="290"/>
      <c r="E20" s="290"/>
      <c r="F20" s="290"/>
      <c r="G20" s="290"/>
      <c r="H20" s="290"/>
      <c r="I20" s="297"/>
      <c r="J20" s="297"/>
      <c r="K20" s="298"/>
    </row>
    <row r="21" spans="1:25" ht="12.75" customHeight="1" x14ac:dyDescent="0.2">
      <c r="A21" s="21" t="s">
        <v>33</v>
      </c>
      <c r="B21" s="296">
        <f>SUM(B6:B19)+SUM(H6:H19)</f>
        <v>0</v>
      </c>
      <c r="C21" s="296">
        <f>SUM(C6:C19)+SUM(I6:I19)</f>
        <v>0</v>
      </c>
      <c r="D21" s="296">
        <f>SUM(D6:D19)+SUM(J6:J19)</f>
        <v>0</v>
      </c>
      <c r="E21" s="296">
        <f>SUM(E6:E19)+SUM(K6:K19)</f>
        <v>0</v>
      </c>
      <c r="F21" s="290"/>
      <c r="G21" s="290"/>
      <c r="H21" s="290"/>
      <c r="I21" s="291"/>
      <c r="J21" s="291"/>
      <c r="K21" s="292"/>
      <c r="L21" s="2"/>
      <c r="M21" s="2"/>
      <c r="N21" s="2"/>
      <c r="O21" s="2"/>
      <c r="P21" s="2"/>
      <c r="Q21" s="2"/>
      <c r="R21" s="2"/>
      <c r="S21" s="2"/>
      <c r="T21" s="2"/>
    </row>
    <row r="22" spans="1:25" ht="12.75" customHeight="1" x14ac:dyDescent="0.2">
      <c r="A22" s="21"/>
      <c r="B22" s="22"/>
      <c r="C22" s="22"/>
      <c r="D22" s="22"/>
      <c r="E22" s="22"/>
      <c r="F22" s="290"/>
      <c r="G22" s="290"/>
      <c r="H22" s="290"/>
      <c r="I22" s="291"/>
      <c r="J22" s="291"/>
      <c r="K22" s="29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 x14ac:dyDescent="0.2">
      <c r="A23" s="21" t="s">
        <v>34</v>
      </c>
      <c r="B23" s="23">
        <f>SUM(B7:B19)+SUM(H7:H19)*0.5</f>
        <v>0</v>
      </c>
      <c r="C23" s="23">
        <f>SUM(C7:C19)+SUM(I7:I19)*0.5</f>
        <v>0</v>
      </c>
      <c r="D23" s="23">
        <f>SUM(D7:D19)+SUM(J7:J19)*0.5</f>
        <v>0</v>
      </c>
      <c r="E23" s="23">
        <f>SUM(E7:E19)+SUM(K7:K19)*0.5</f>
        <v>0</v>
      </c>
      <c r="F23" s="290"/>
      <c r="G23" s="290"/>
      <c r="H23" s="290"/>
      <c r="I23" s="291"/>
      <c r="J23" s="291"/>
      <c r="K23" s="29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7.25" customHeight="1" x14ac:dyDescent="0.2">
      <c r="A24" s="24" t="s">
        <v>35</v>
      </c>
      <c r="B24" s="25"/>
      <c r="C24" s="25"/>
      <c r="D24" s="25"/>
      <c r="E24" s="25"/>
      <c r="F24" s="293"/>
      <c r="G24" s="293"/>
      <c r="H24" s="293"/>
      <c r="I24" s="294"/>
      <c r="J24" s="294"/>
      <c r="K24" s="29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6" spans="1:25" ht="12.75" customHeight="1" x14ac:dyDescent="0.2">
      <c r="D26" s="20"/>
      <c r="E26" s="20"/>
    </row>
    <row r="28" spans="1:25" ht="39.75" customHeight="1" x14ac:dyDescent="0.2">
      <c r="A28" s="334"/>
      <c r="B28" s="334"/>
      <c r="C28" s="334"/>
      <c r="D28" s="334"/>
      <c r="E28" s="334"/>
      <c r="F28" s="334"/>
      <c r="G28" s="334"/>
      <c r="H28" s="334"/>
      <c r="I28" s="334"/>
      <c r="J28" s="334"/>
      <c r="K28" s="334"/>
    </row>
  </sheetData>
  <mergeCells count="3">
    <mergeCell ref="A28:K28"/>
    <mergeCell ref="B4:E4"/>
    <mergeCell ref="H4:K4"/>
  </mergeCells>
  <phoneticPr fontId="46" type="noConversion"/>
  <printOptions horizontalCentered="1"/>
  <pageMargins left="0.7" right="0.7" top="0.75" bottom="0.75" header="0.51180555555555496" footer="0.51180555555555496"/>
  <pageSetup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8"/>
  <sheetViews>
    <sheetView tabSelected="1" topLeftCell="A15" zoomScale="110" zoomScaleNormal="110" zoomScalePageLayoutView="110" workbookViewId="0">
      <selection activeCell="I24" sqref="I24"/>
    </sheetView>
  </sheetViews>
  <sheetFormatPr defaultColWidth="8.85546875" defaultRowHeight="12.75" x14ac:dyDescent="0.2"/>
  <cols>
    <col min="1" max="1" width="33.28515625" customWidth="1"/>
    <col min="2" max="2" width="12.42578125" customWidth="1"/>
    <col min="3" max="5" width="12" customWidth="1"/>
    <col min="6" max="6" width="2" customWidth="1"/>
    <col min="7" max="7" width="10.7109375" customWidth="1"/>
    <col min="8" max="8" width="1.7109375" customWidth="1"/>
    <col min="9" max="9" width="81.42578125" bestFit="1" customWidth="1"/>
    <col min="10" max="20" width="9.140625" customWidth="1"/>
    <col min="21" max="24" width="8.7109375" customWidth="1"/>
    <col min="25" max="1023" width="14.42578125" customWidth="1"/>
  </cols>
  <sheetData>
    <row r="1" spans="1:24" ht="12.75" customHeight="1" x14ac:dyDescent="0.3">
      <c r="A1" s="27">
        <f>'Page 3-Assumptions'!A1</f>
        <v>0</v>
      </c>
      <c r="B1" s="2"/>
      <c r="C1" s="2"/>
      <c r="D1" s="2"/>
      <c r="E1" s="28" t="s">
        <v>268</v>
      </c>
      <c r="F1" s="28"/>
      <c r="G1" s="2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2.75" customHeight="1" x14ac:dyDescent="0.3">
      <c r="A2" s="27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4.75" customHeight="1" x14ac:dyDescent="0.2">
      <c r="A4" s="29"/>
      <c r="B4" s="30" t="str">
        <f>'Page 10-6 yr Budget-detail'!B4</f>
        <v>FY 2020-21 Estimate</v>
      </c>
      <c r="C4" s="30" t="str">
        <f>'Page 10-6 yr Budget-detail'!C4</f>
        <v>FY 2021 -22</v>
      </c>
      <c r="D4" s="30" t="str">
        <f>'Page 10-6 yr Budget-detail'!D4</f>
        <v>FY 2022-23</v>
      </c>
      <c r="E4" s="30" t="str">
        <f>'Page 10-6 yr Budget-detail'!E4</f>
        <v>FY 2023-24</v>
      </c>
      <c r="F4" s="317"/>
      <c r="G4" s="337" t="s">
        <v>37</v>
      </c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19.5" customHeight="1" x14ac:dyDescent="0.2">
      <c r="A5" s="33" t="s">
        <v>38</v>
      </c>
      <c r="B5" s="34">
        <f>'Page 4-Current Year'!E6</f>
        <v>0</v>
      </c>
      <c r="C5" s="35">
        <f>'Page 5-Year 1'!E5</f>
        <v>0</v>
      </c>
      <c r="D5" s="35">
        <f>'Page 6-Year 2'!E5</f>
        <v>0</v>
      </c>
      <c r="E5" s="35">
        <f>'Page 7-Year 3'!E5</f>
        <v>0</v>
      </c>
      <c r="F5" s="22"/>
      <c r="G5" s="337"/>
      <c r="H5" s="1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.75" customHeight="1" x14ac:dyDescent="0.2">
      <c r="A6" s="256" t="s">
        <v>267</v>
      </c>
      <c r="B6" s="257">
        <v>0</v>
      </c>
      <c r="C6" s="257">
        <v>10</v>
      </c>
      <c r="D6" s="257">
        <v>15</v>
      </c>
      <c r="E6" s="258">
        <v>20</v>
      </c>
      <c r="F6" s="37"/>
      <c r="G6" s="272">
        <v>40000</v>
      </c>
      <c r="H6" s="3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75" customHeight="1" x14ac:dyDescent="0.2">
      <c r="A7" s="256"/>
      <c r="B7" s="257"/>
      <c r="C7" s="258"/>
      <c r="D7" s="258"/>
      <c r="E7" s="258"/>
      <c r="F7" s="37"/>
      <c r="G7" s="273"/>
      <c r="H7" s="3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customHeight="1" x14ac:dyDescent="0.2">
      <c r="A8" s="259"/>
      <c r="B8" s="257"/>
      <c r="C8" s="257"/>
      <c r="D8" s="257"/>
      <c r="E8" s="258"/>
      <c r="F8" s="39"/>
      <c r="G8" s="273"/>
      <c r="H8" s="3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customHeight="1" x14ac:dyDescent="0.2">
      <c r="A9" s="259"/>
      <c r="B9" s="257"/>
      <c r="C9" s="257"/>
      <c r="D9" s="257"/>
      <c r="E9" s="258"/>
      <c r="F9" s="22"/>
      <c r="G9" s="273"/>
      <c r="H9" s="3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 customHeight="1" x14ac:dyDescent="0.2">
      <c r="A10" s="256"/>
      <c r="B10" s="257"/>
      <c r="C10" s="257"/>
      <c r="D10" s="257"/>
      <c r="E10" s="258"/>
      <c r="F10" s="22"/>
      <c r="G10" s="273"/>
      <c r="H10" s="3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75" customHeight="1" x14ac:dyDescent="0.2">
      <c r="A11" s="260"/>
      <c r="B11" s="257"/>
      <c r="C11" s="257"/>
      <c r="D11" s="258"/>
      <c r="E11" s="258"/>
      <c r="F11" s="22"/>
      <c r="G11" s="273"/>
      <c r="H11" s="3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75" customHeight="1" x14ac:dyDescent="0.2">
      <c r="A12" s="259"/>
      <c r="B12" s="257"/>
      <c r="C12" s="257"/>
      <c r="D12" s="258"/>
      <c r="E12" s="258"/>
      <c r="F12" s="22"/>
      <c r="G12" s="273"/>
      <c r="H12" s="3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.75" customHeight="1" x14ac:dyDescent="0.2">
      <c r="A13" s="259"/>
      <c r="B13" s="257"/>
      <c r="C13" s="257"/>
      <c r="D13" s="258"/>
      <c r="E13" s="258"/>
      <c r="F13" s="22"/>
      <c r="G13" s="273"/>
      <c r="H13" s="3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261"/>
      <c r="B14" s="258"/>
      <c r="C14" s="258"/>
      <c r="D14" s="258"/>
      <c r="E14" s="258"/>
      <c r="F14" s="22"/>
      <c r="G14" s="274"/>
      <c r="H14" s="38"/>
      <c r="I14" s="2" t="s">
        <v>26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2.75" customHeight="1" x14ac:dyDescent="0.2">
      <c r="A15" s="40" t="s">
        <v>39</v>
      </c>
      <c r="B15" s="41">
        <f t="shared" ref="B15:E15" si="0">SUM(B6:B14)</f>
        <v>0</v>
      </c>
      <c r="C15" s="41">
        <f t="shared" si="0"/>
        <v>10</v>
      </c>
      <c r="D15" s="41">
        <f t="shared" si="0"/>
        <v>15</v>
      </c>
      <c r="E15" s="41">
        <f t="shared" si="0"/>
        <v>20</v>
      </c>
      <c r="F15" s="22"/>
      <c r="G15" s="42"/>
      <c r="H15" s="3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3"/>
      <c r="V15" s="43"/>
      <c r="W15" s="43"/>
      <c r="X15" s="43"/>
    </row>
    <row r="16" spans="1:24" ht="12.75" customHeight="1" x14ac:dyDescent="0.2">
      <c r="A16" s="44"/>
      <c r="B16" s="37"/>
      <c r="C16" s="37"/>
      <c r="D16" s="37"/>
      <c r="E16" s="37"/>
      <c r="F16" s="22"/>
      <c r="G16" s="42"/>
      <c r="H16" s="3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4.5" customHeight="1" x14ac:dyDescent="0.2">
      <c r="A17" s="33" t="s">
        <v>294</v>
      </c>
      <c r="B17" s="34">
        <f t="shared" ref="B17:E17" si="1">B5</f>
        <v>0</v>
      </c>
      <c r="C17" s="35">
        <f t="shared" si="1"/>
        <v>0</v>
      </c>
      <c r="D17" s="35">
        <f t="shared" si="1"/>
        <v>0</v>
      </c>
      <c r="E17" s="35">
        <f t="shared" si="1"/>
        <v>0</v>
      </c>
      <c r="F17" s="37"/>
      <c r="G17" s="45"/>
      <c r="H17" s="38"/>
      <c r="I17" s="312" t="s">
        <v>308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2.5" customHeight="1" x14ac:dyDescent="0.2">
      <c r="A18" s="256" t="s">
        <v>295</v>
      </c>
      <c r="B18" s="262">
        <v>0</v>
      </c>
      <c r="C18" s="262">
        <v>1</v>
      </c>
      <c r="D18" s="262">
        <v>1</v>
      </c>
      <c r="E18" s="263">
        <v>1</v>
      </c>
      <c r="F18" s="46"/>
      <c r="G18" s="272">
        <v>90000</v>
      </c>
      <c r="H18" s="38"/>
      <c r="I18" s="311" t="s">
        <v>309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2.5" customHeight="1" x14ac:dyDescent="0.2">
      <c r="A19" s="256" t="s">
        <v>296</v>
      </c>
      <c r="B19" s="262"/>
      <c r="C19" s="262"/>
      <c r="D19" s="262"/>
      <c r="E19" s="263"/>
      <c r="F19" s="46"/>
      <c r="G19" s="273"/>
      <c r="H19" s="38"/>
      <c r="I19" s="311" t="s">
        <v>310</v>
      </c>
      <c r="J19" s="2" t="s">
        <v>26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2.5" customHeight="1" x14ac:dyDescent="0.2">
      <c r="A20" s="264" t="s">
        <v>297</v>
      </c>
      <c r="B20" s="262"/>
      <c r="C20" s="262"/>
      <c r="D20" s="262"/>
      <c r="E20" s="263"/>
      <c r="F20" s="46"/>
      <c r="G20" s="273"/>
      <c r="H20" s="38"/>
      <c r="I20" s="311" t="s">
        <v>314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2.5" customHeight="1" x14ac:dyDescent="0.2">
      <c r="A21" s="256"/>
      <c r="B21" s="262"/>
      <c r="C21" s="262"/>
      <c r="D21" s="263"/>
      <c r="E21" s="263"/>
      <c r="F21" s="46" t="s">
        <v>26</v>
      </c>
      <c r="G21" s="273"/>
      <c r="H21" s="38"/>
      <c r="I21" s="311" t="s">
        <v>311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22.5" customHeight="1" x14ac:dyDescent="0.2">
      <c r="A22" s="265"/>
      <c r="B22" s="266"/>
      <c r="C22" s="266"/>
      <c r="D22" s="266"/>
      <c r="E22" s="266"/>
      <c r="F22" s="46"/>
      <c r="G22" s="273"/>
      <c r="H22" s="38"/>
      <c r="I22" s="311" t="s">
        <v>312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22.5" customHeight="1" x14ac:dyDescent="0.2">
      <c r="A23" s="256"/>
      <c r="B23" s="257"/>
      <c r="C23" s="258"/>
      <c r="D23" s="258"/>
      <c r="E23" s="258"/>
      <c r="F23" s="46"/>
      <c r="G23" s="273"/>
      <c r="H23" s="38"/>
      <c r="I23" s="311" t="s">
        <v>313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2.5" customHeight="1" x14ac:dyDescent="0.2">
      <c r="A24" s="256"/>
      <c r="B24" s="257"/>
      <c r="C24" s="258"/>
      <c r="D24" s="258"/>
      <c r="E24" s="258"/>
      <c r="F24" s="46"/>
      <c r="G24" s="273"/>
      <c r="H24" s="38"/>
      <c r="I24" s="311" t="s">
        <v>315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2.5" customHeight="1" x14ac:dyDescent="0.2">
      <c r="A25" s="256"/>
      <c r="B25" s="257"/>
      <c r="C25" s="257"/>
      <c r="D25" s="258"/>
      <c r="E25" s="258"/>
      <c r="F25" s="46"/>
      <c r="G25" s="273"/>
      <c r="H25" s="3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22.5" customHeight="1" x14ac:dyDescent="0.2">
      <c r="A26" s="256"/>
      <c r="B26" s="257"/>
      <c r="C26" s="257"/>
      <c r="D26" s="258"/>
      <c r="E26" s="258"/>
      <c r="F26" s="46"/>
      <c r="G26" s="273"/>
      <c r="H26" s="38"/>
      <c r="I26" s="338" t="s">
        <v>316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customHeight="1" x14ac:dyDescent="0.2">
      <c r="A27" s="47" t="s">
        <v>40</v>
      </c>
      <c r="B27" s="48"/>
      <c r="C27" s="49"/>
      <c r="D27" s="50"/>
      <c r="E27" s="50"/>
      <c r="F27" s="46"/>
      <c r="G27" s="275"/>
      <c r="H27" s="38"/>
      <c r="I27" s="33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customHeight="1" x14ac:dyDescent="0.2">
      <c r="A28" s="267"/>
      <c r="B28" s="268"/>
      <c r="C28" s="269"/>
      <c r="D28" s="270"/>
      <c r="E28" s="270"/>
      <c r="F28" s="46"/>
      <c r="G28" s="275"/>
      <c r="H28" s="38"/>
      <c r="I28" s="33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customHeight="1" x14ac:dyDescent="0.2">
      <c r="A29" s="267" t="s">
        <v>26</v>
      </c>
      <c r="B29" s="268"/>
      <c r="C29" s="269"/>
      <c r="D29" s="269"/>
      <c r="E29" s="271"/>
      <c r="F29" s="46"/>
      <c r="G29" s="276"/>
      <c r="H29" s="38"/>
      <c r="I29" s="33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.75" customHeight="1" x14ac:dyDescent="0.2">
      <c r="A30" s="51" t="s">
        <v>41</v>
      </c>
      <c r="B30" s="41">
        <f t="shared" ref="B30:E30" si="2">SUM(B18:B26)</f>
        <v>0</v>
      </c>
      <c r="C30" s="41">
        <f t="shared" si="2"/>
        <v>1</v>
      </c>
      <c r="D30" s="41">
        <f t="shared" si="2"/>
        <v>1</v>
      </c>
      <c r="E30" s="41">
        <f t="shared" si="2"/>
        <v>1</v>
      </c>
      <c r="F30" s="22"/>
      <c r="G30" s="22"/>
      <c r="H30" s="19"/>
      <c r="I30" s="338"/>
      <c r="J30" s="52"/>
      <c r="K30" s="2"/>
      <c r="L30" s="2"/>
      <c r="M30" s="2"/>
      <c r="N30" s="2"/>
      <c r="O30" s="2"/>
      <c r="P30" s="2"/>
      <c r="Q30" s="2"/>
      <c r="R30" s="2"/>
      <c r="S30" s="2"/>
      <c r="T30" s="2"/>
      <c r="U30" s="43"/>
      <c r="V30" s="43"/>
      <c r="W30" s="43"/>
      <c r="X30" s="43"/>
    </row>
    <row r="31" spans="1:24" ht="12.75" customHeight="1" x14ac:dyDescent="0.2">
      <c r="A31" s="44"/>
      <c r="B31" s="22"/>
      <c r="C31" s="22"/>
      <c r="D31" s="22"/>
      <c r="E31" s="22"/>
      <c r="F31" s="22"/>
      <c r="G31" s="22"/>
      <c r="H31" s="19"/>
      <c r="I31" s="33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customHeight="1" x14ac:dyDescent="0.2">
      <c r="A32" s="53" t="s">
        <v>42</v>
      </c>
      <c r="B32" s="53">
        <f>(SUMPRODUCT(B6:B14,$G6:$G14))+(SUMPRODUCT(B18:B29,$G18:$G29))</f>
        <v>0</v>
      </c>
      <c r="C32" s="53">
        <f>(SUMPRODUCT(C6:C14,$G6:$G14)*(1+$G32))+(SUMPRODUCT(C18:C29,$G18:$G29)*(1+$G32))</f>
        <v>504700</v>
      </c>
      <c r="D32" s="53">
        <f>(SUMPRODUCT(D6:D14,$G6:$G14)*(1+($G32*2))+(SUMPRODUCT(D18:D29,$G18:$G29)*(1+($G32*2))))</f>
        <v>731400</v>
      </c>
      <c r="E32" s="53">
        <f>(SUMPRODUCT(E6:E14,$G6:$G14)*(1+($G32*3))+(SUMPRODUCT(E18:E29,$G18:$G29)*(1+($G32*3))))</f>
        <v>970100.00000000012</v>
      </c>
      <c r="F32" s="37"/>
      <c r="G32" s="255">
        <v>0.03</v>
      </c>
      <c r="H32" s="54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2">
      <c r="A33" s="44"/>
      <c r="B33" s="56"/>
      <c r="C33" s="56"/>
      <c r="D33" s="56"/>
      <c r="E33" s="56"/>
      <c r="F33" s="22"/>
      <c r="G33" s="22" t="s">
        <v>44</v>
      </c>
      <c r="H33" s="19"/>
      <c r="I33" s="55" t="s">
        <v>43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customHeight="1" x14ac:dyDescent="0.2">
      <c r="A34" s="44"/>
      <c r="B34" s="22"/>
      <c r="C34" s="22"/>
      <c r="D34" s="22"/>
      <c r="E34" s="22"/>
      <c r="F34" s="22"/>
      <c r="G34" s="22"/>
      <c r="H34" s="1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">
      <c r="A35" s="40" t="s">
        <v>45</v>
      </c>
      <c r="B35" s="57">
        <f>B15</f>
        <v>0</v>
      </c>
      <c r="C35" s="57">
        <f>C15-C14</f>
        <v>10</v>
      </c>
      <c r="D35" s="57">
        <f>D15-D14</f>
        <v>15</v>
      </c>
      <c r="E35" s="57">
        <f>E15-E14</f>
        <v>20</v>
      </c>
      <c r="F35" s="22"/>
      <c r="G35" s="22"/>
      <c r="H35" s="1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58" t="s">
        <v>46</v>
      </c>
      <c r="B36" s="59">
        <f t="shared" ref="B36:E36" si="3">B30</f>
        <v>0</v>
      </c>
      <c r="C36" s="59">
        <f t="shared" si="3"/>
        <v>1</v>
      </c>
      <c r="D36" s="59">
        <f t="shared" si="3"/>
        <v>1</v>
      </c>
      <c r="E36" s="59">
        <f t="shared" si="3"/>
        <v>1</v>
      </c>
      <c r="F36" s="22"/>
      <c r="G36" s="22"/>
      <c r="H36" s="1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60" t="s">
        <v>47</v>
      </c>
      <c r="B37" s="61">
        <f t="shared" ref="B37:E37" si="4">SUM(B35:B36)</f>
        <v>0</v>
      </c>
      <c r="C37" s="61">
        <f t="shared" si="4"/>
        <v>11</v>
      </c>
      <c r="D37" s="61">
        <f t="shared" si="4"/>
        <v>16</v>
      </c>
      <c r="E37" s="61">
        <f t="shared" si="4"/>
        <v>21</v>
      </c>
      <c r="F37" s="22"/>
      <c r="G37" s="22"/>
      <c r="H37" s="1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3.5" customHeight="1" x14ac:dyDescent="0.2">
      <c r="A38" s="36"/>
      <c r="B38" s="22"/>
      <c r="C38" s="22"/>
      <c r="D38" s="22"/>
      <c r="E38" s="22"/>
      <c r="F38" s="22"/>
      <c r="G38" s="22"/>
      <c r="H38" s="1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customHeight="1" x14ac:dyDescent="0.2">
      <c r="A39" s="44" t="s">
        <v>48</v>
      </c>
      <c r="B39" s="62"/>
      <c r="C39" s="62" t="str">
        <f>(ROUND(C5/(C35),0)&amp;":1")</f>
        <v>0:1</v>
      </c>
      <c r="D39" s="62" t="str">
        <f>(ROUND(D5/(D35),0)&amp;":1")</f>
        <v>0:1</v>
      </c>
      <c r="E39" s="62" t="str">
        <f>(ROUND(E5/(E35),0)&amp;":1")</f>
        <v>0:1</v>
      </c>
      <c r="F39" s="22"/>
      <c r="G39" s="22"/>
      <c r="H39" s="1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">
      <c r="A40" s="44" t="s">
        <v>49</v>
      </c>
      <c r="B40" s="62"/>
      <c r="C40" s="62" t="str">
        <f>(ROUND(C5/(C37),0)&amp;":1")</f>
        <v>0:1</v>
      </c>
      <c r="D40" s="62" t="str">
        <f>(ROUND(D5/(D37),0)&amp;":1")</f>
        <v>0:1</v>
      </c>
      <c r="E40" s="62" t="str">
        <f>(ROUND(E5/(E37),0)&amp;":1")</f>
        <v>0:1</v>
      </c>
      <c r="F40" s="22"/>
      <c r="G40" s="22"/>
      <c r="H40" s="1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8.25" customHeight="1" x14ac:dyDescent="0.2">
      <c r="A41" s="63"/>
      <c r="B41" s="25"/>
      <c r="C41" s="25"/>
      <c r="D41" s="25"/>
      <c r="E41" s="25"/>
      <c r="F41" s="25"/>
      <c r="G41" s="25"/>
      <c r="H41" s="2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hidden="1" customHeight="1" x14ac:dyDescent="0.2">
      <c r="A44" s="2" t="s">
        <v>50</v>
      </c>
      <c r="B44" s="64">
        <f>((B6*$G$6)+(B7*$G$7)+(B9*$G$9)+(B10*$G$10)+(B11*$G$11)+(B12*$G$12))</f>
        <v>0</v>
      </c>
      <c r="C44" s="64">
        <f>((C6*$G$6)+(C7*$G$7)+(C8*$G$8)+(C9*$G$9)+(C10*$G$10)+(C11*$G$11)+(C12*$G$12))*(1+$G$32)</f>
        <v>412000</v>
      </c>
      <c r="D44" s="64">
        <f>((D6*$G$6)+(D7*$G$7)+(D8*$G$8)+(D9*$G$9)+(D10*$G$10)+(D11*$G$11)+(D12*$G$12))*(1+($G32*2))</f>
        <v>636000</v>
      </c>
      <c r="E44" s="64">
        <f>((E6*$G$6)+(E7*$G$7)+(E8*$G$8)+(E9*$G$9)+(E10*$G$10)+(E11*$G$11)+(E12*$G$12))*(1+($G32*3))</f>
        <v>872000.00000000012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hidden="1" customHeight="1" x14ac:dyDescent="0.2">
      <c r="A45" s="2" t="s">
        <v>51</v>
      </c>
      <c r="B45" s="64">
        <f>((B18*$G$18)+(B19*$G$19)+(B20*$G$20)+(B21*$G$21)+(B22*$G$22)+(B23*$G$23)+(B24*$G$24))</f>
        <v>0</v>
      </c>
      <c r="C45" s="64">
        <f>((C18*$G$18)+(C19*$G$19)+(C20*$G$20)+(C21*$G$21)+(C22*$G$22)+(C23*$G$23)+(C24*$G$24))*(1+$G$32)</f>
        <v>92700</v>
      </c>
      <c r="D45" s="64">
        <f>((D18*$G$18)+(D19*$G$19)+(D20*$G$20)+(D21*$G$21)+(D22*$G$22)+(D23*$G$23)+(D24*$G$24))*(1+($G32*2))</f>
        <v>95400</v>
      </c>
      <c r="E45" s="64">
        <f>((E18*$G$18)+(E19*$G$19)+(E20*$G$20)+(E21*$G$21)+(E22*$G$22)+(E23*$G$23)+(E24*$G$24))*(1+($G32*3))</f>
        <v>98100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hidden="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hidden="1" customHeight="1" x14ac:dyDescent="0.2">
      <c r="A47" s="2" t="s">
        <v>52</v>
      </c>
      <c r="B47" s="64">
        <f t="shared" ref="B47:E47" si="5">B32-SUM(B44:B45)</f>
        <v>0</v>
      </c>
      <c r="C47" s="64">
        <f t="shared" si="5"/>
        <v>0</v>
      </c>
      <c r="D47" s="64">
        <f t="shared" si="5"/>
        <v>0</v>
      </c>
      <c r="E47" s="64">
        <f t="shared" si="5"/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">
      <c r="I48" s="2"/>
    </row>
  </sheetData>
  <mergeCells count="2">
    <mergeCell ref="G4:G5"/>
    <mergeCell ref="I26:I31"/>
  </mergeCells>
  <phoneticPr fontId="46" type="noConversion"/>
  <printOptions horizontalCentered="1"/>
  <pageMargins left="0.40972222222222199" right="0.22986111111111099" top="0.37986111111111098" bottom="0.40972222222222199" header="0.51180555555555496" footer="0.51180555555555496"/>
  <pageSetup firstPageNumber="0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85" zoomScaleNormal="85" zoomScalePageLayoutView="110" workbookViewId="0">
      <selection activeCell="E12" sqref="E12"/>
    </sheetView>
  </sheetViews>
  <sheetFormatPr defaultColWidth="8.85546875" defaultRowHeight="12.75" outlineLevelCol="1" x14ac:dyDescent="0.2"/>
  <cols>
    <col min="1" max="1" width="40.140625" customWidth="1"/>
    <col min="2" max="5" width="14.140625" customWidth="1" outlineLevel="1"/>
    <col min="6" max="6" width="5.140625" customWidth="1" outlineLevel="1"/>
    <col min="7" max="7" width="17.42578125" customWidth="1" outlineLevel="1"/>
    <col min="8" max="8" width="23.7109375" customWidth="1" outlineLevel="1"/>
    <col min="9" max="9" width="35.28515625" customWidth="1" outlineLevel="1"/>
    <col min="10" max="10" width="64.28515625" style="308" customWidth="1"/>
    <col min="11" max="11" width="11.42578125" customWidth="1"/>
    <col min="12" max="24" width="8.7109375" customWidth="1"/>
    <col min="25" max="1023" width="14.42578125" customWidth="1"/>
  </cols>
  <sheetData>
    <row r="1" spans="1:24" ht="21" customHeight="1" x14ac:dyDescent="0.3">
      <c r="A1" s="27">
        <f>'Cover Page'!A17:H17</f>
        <v>0</v>
      </c>
      <c r="B1" s="2"/>
      <c r="C1" s="2"/>
      <c r="D1" s="2"/>
      <c r="E1" s="2"/>
      <c r="G1" s="2"/>
      <c r="H1" s="2"/>
      <c r="I1" s="2"/>
      <c r="J1" s="30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3">
      <c r="A2" s="27" t="s">
        <v>53</v>
      </c>
      <c r="B2" s="2"/>
      <c r="C2" s="65" t="s">
        <v>26</v>
      </c>
      <c r="D2" s="2"/>
      <c r="E2" s="2"/>
      <c r="G2" s="2"/>
      <c r="H2" s="2"/>
      <c r="I2" s="2"/>
      <c r="J2" s="30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 customHeight="1" x14ac:dyDescent="0.2">
      <c r="A3" s="2"/>
      <c r="B3" s="2"/>
      <c r="C3" s="65"/>
      <c r="D3" s="2"/>
      <c r="E3" s="2"/>
      <c r="G3" s="2"/>
      <c r="H3" s="2"/>
      <c r="I3" s="2"/>
      <c r="J3" s="30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0" customHeight="1" x14ac:dyDescent="0.2">
      <c r="A4" s="1" t="s">
        <v>54</v>
      </c>
      <c r="B4" s="30" t="str">
        <f>'Page 10-6 yr Budget-detail'!B4</f>
        <v>FY 2020-21 Estimate</v>
      </c>
      <c r="C4" s="30" t="str">
        <f>'Page 10-6 yr Budget-detail'!C4</f>
        <v>FY 2021 -22</v>
      </c>
      <c r="D4" s="30" t="str">
        <f>'Page 10-6 yr Budget-detail'!D4</f>
        <v>FY 2022-23</v>
      </c>
      <c r="E4" s="30" t="str">
        <f>'Page 10-6 yr Budget-detail'!E4</f>
        <v>FY 2023-24</v>
      </c>
      <c r="G4" s="339" t="s">
        <v>55</v>
      </c>
      <c r="H4" s="339"/>
      <c r="I4" s="66" t="s">
        <v>56</v>
      </c>
      <c r="J4" s="303" t="s">
        <v>57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8.25" x14ac:dyDescent="0.2">
      <c r="A5" s="67" t="s">
        <v>58</v>
      </c>
      <c r="B5" s="68">
        <f>$G$5</f>
        <v>0</v>
      </c>
      <c r="C5" s="68">
        <f>B5*1.015</f>
        <v>0</v>
      </c>
      <c r="D5" s="68">
        <f>C5*1.015</f>
        <v>0</v>
      </c>
      <c r="E5" s="68">
        <f>D5*1.015</f>
        <v>0</v>
      </c>
      <c r="G5" s="250"/>
      <c r="H5" s="69" t="s">
        <v>59</v>
      </c>
      <c r="I5" s="70" t="s">
        <v>59</v>
      </c>
      <c r="J5" s="304" t="s">
        <v>60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" customHeight="1" x14ac:dyDescent="0.2">
      <c r="A6" s="71" t="s">
        <v>61</v>
      </c>
      <c r="B6" s="68">
        <f>B5*B7*0.5</f>
        <v>0</v>
      </c>
      <c r="C6" s="68">
        <f>C5*C7*0.5</f>
        <v>0</v>
      </c>
      <c r="D6" s="68">
        <f>D5*D7*0.5</f>
        <v>0</v>
      </c>
      <c r="E6" s="68">
        <f>E5*E7*0.5</f>
        <v>0</v>
      </c>
      <c r="G6" s="72" t="s">
        <v>62</v>
      </c>
      <c r="H6" s="69" t="s">
        <v>63</v>
      </c>
      <c r="I6" s="70" t="s">
        <v>64</v>
      </c>
      <c r="J6" s="305" t="s">
        <v>290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5.5" customHeight="1" x14ac:dyDescent="0.2">
      <c r="A7" s="73" t="s">
        <v>65</v>
      </c>
      <c r="B7" s="325">
        <v>0</v>
      </c>
      <c r="C7" s="325">
        <v>0</v>
      </c>
      <c r="D7" s="251">
        <v>0</v>
      </c>
      <c r="E7" s="251">
        <v>0</v>
      </c>
      <c r="F7" s="75"/>
      <c r="G7" s="76"/>
      <c r="H7" s="77"/>
      <c r="I7" s="70" t="s">
        <v>66</v>
      </c>
      <c r="J7" s="30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4" ht="38.25" x14ac:dyDescent="0.2">
      <c r="A8" s="67" t="s">
        <v>67</v>
      </c>
      <c r="B8" s="78">
        <f>G8</f>
        <v>300</v>
      </c>
      <c r="C8" s="78">
        <f>B8*0.99</f>
        <v>297</v>
      </c>
      <c r="D8" s="78">
        <f>C8*0.99</f>
        <v>294.02999999999997</v>
      </c>
      <c r="E8" s="78">
        <f>D8*0.99</f>
        <v>291.08969999999999</v>
      </c>
      <c r="G8" s="79">
        <v>300</v>
      </c>
      <c r="H8" s="69" t="s">
        <v>59</v>
      </c>
      <c r="I8" s="70" t="s">
        <v>64</v>
      </c>
      <c r="J8" s="305" t="s">
        <v>291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3" customHeight="1" x14ac:dyDescent="0.2">
      <c r="A9" s="67" t="s">
        <v>68</v>
      </c>
      <c r="B9" s="68">
        <f>G9</f>
        <v>1279</v>
      </c>
      <c r="C9" s="68">
        <f>B10*0.98*$G$9</f>
        <v>0</v>
      </c>
      <c r="D9" s="68">
        <f>C10*0.98*$G$9</f>
        <v>0</v>
      </c>
      <c r="E9" s="68">
        <f>D10*0.96*$G$9</f>
        <v>0</v>
      </c>
      <c r="G9" s="80">
        <v>1279</v>
      </c>
      <c r="H9" s="69" t="s">
        <v>69</v>
      </c>
      <c r="I9" s="70" t="s">
        <v>64</v>
      </c>
      <c r="J9" s="304" t="s">
        <v>70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3" customHeight="1" x14ac:dyDescent="0.2">
      <c r="A10" s="81" t="s">
        <v>71</v>
      </c>
      <c r="B10" s="252">
        <v>0</v>
      </c>
      <c r="C10" s="252">
        <v>0</v>
      </c>
      <c r="D10" s="252">
        <v>0</v>
      </c>
      <c r="E10" s="252">
        <v>0</v>
      </c>
      <c r="G10" s="80"/>
      <c r="H10" s="69"/>
      <c r="I10" s="70" t="s">
        <v>72</v>
      </c>
      <c r="J10" s="30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51" x14ac:dyDescent="0.2">
      <c r="A11" s="67" t="s">
        <v>73</v>
      </c>
      <c r="B11" s="68">
        <v>0</v>
      </c>
      <c r="C11" s="68">
        <v>0</v>
      </c>
      <c r="D11" s="68">
        <f>C13*$G$11*0.98</f>
        <v>0</v>
      </c>
      <c r="E11" s="68">
        <f>D13*$G$11*0.96</f>
        <v>0</v>
      </c>
      <c r="G11" s="82">
        <v>125</v>
      </c>
      <c r="H11" s="69" t="s">
        <v>74</v>
      </c>
      <c r="I11" s="70" t="s">
        <v>64</v>
      </c>
      <c r="J11" s="304" t="s">
        <v>75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3" customHeight="1" x14ac:dyDescent="0.2">
      <c r="A12" s="73" t="s">
        <v>76</v>
      </c>
      <c r="B12" s="253">
        <v>0</v>
      </c>
      <c r="C12" s="253">
        <v>0</v>
      </c>
      <c r="D12" s="254">
        <v>0</v>
      </c>
      <c r="E12" s="254">
        <v>0</v>
      </c>
      <c r="G12" s="79"/>
      <c r="H12" s="69"/>
      <c r="I12" s="70" t="s">
        <v>77</v>
      </c>
      <c r="J12" s="30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3" customHeight="1" x14ac:dyDescent="0.2">
      <c r="A13" s="73" t="s">
        <v>78</v>
      </c>
      <c r="B13" s="74">
        <f>SUM('Page 1-Enrollment Plan'!B7:B19)*'Page 3-Assumptions'!B12</f>
        <v>0</v>
      </c>
      <c r="C13" s="74">
        <f>SUM('Page 1-Enrollment Plan'!C7:C19)*'Page 3-Assumptions'!C12</f>
        <v>0</v>
      </c>
      <c r="D13" s="74">
        <f>SUM('Page 1-Enrollment Plan'!D7:D19)*'Page 3-Assumptions'!D12</f>
        <v>0</v>
      </c>
      <c r="E13" s="74">
        <f>SUM('Page 1-Enrollment Plan'!E7:E19)*'Page 3-Assumptions'!E12</f>
        <v>0</v>
      </c>
      <c r="G13" s="79"/>
      <c r="H13" s="69"/>
      <c r="I13" s="70" t="s">
        <v>64</v>
      </c>
      <c r="J13" s="30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42" customHeight="1" x14ac:dyDescent="0.2">
      <c r="A14" s="67" t="s">
        <v>79</v>
      </c>
      <c r="B14" s="68">
        <v>0</v>
      </c>
      <c r="C14" s="68">
        <f>500</f>
        <v>500</v>
      </c>
      <c r="D14" s="68">
        <f>500+$G$14*D15*0.98</f>
        <v>500</v>
      </c>
      <c r="E14" s="68">
        <f>500+$G$14*E15*0.96</f>
        <v>500</v>
      </c>
      <c r="G14" s="82">
        <v>150</v>
      </c>
      <c r="H14" s="69" t="s">
        <v>80</v>
      </c>
      <c r="I14" s="70" t="s">
        <v>64</v>
      </c>
      <c r="J14" s="304" t="s">
        <v>81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3" customHeight="1" x14ac:dyDescent="0.2">
      <c r="A15" s="73" t="s">
        <v>82</v>
      </c>
      <c r="B15" s="252">
        <f>0.05*'Page 1-Enrollment Plan'!B23</f>
        <v>0</v>
      </c>
      <c r="C15" s="252">
        <f>0.05*'Page 1-Enrollment Plan'!C23</f>
        <v>0</v>
      </c>
      <c r="D15" s="252">
        <f>0.05*'Page 1-Enrollment Plan'!D23</f>
        <v>0</v>
      </c>
      <c r="E15" s="252">
        <f>0.05*'Page 1-Enrollment Plan'!E23</f>
        <v>0</v>
      </c>
      <c r="G15" s="82"/>
      <c r="H15" s="69"/>
      <c r="I15" s="70" t="s">
        <v>82</v>
      </c>
      <c r="J15" s="30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3" customHeight="1" x14ac:dyDescent="0.2">
      <c r="A16" s="67" t="s">
        <v>83</v>
      </c>
      <c r="B16" s="326">
        <f>B17*G16</f>
        <v>0</v>
      </c>
      <c r="C16" s="78">
        <f>B17*$G$16</f>
        <v>0</v>
      </c>
      <c r="D16" s="78">
        <f>C17*$G$16</f>
        <v>0</v>
      </c>
      <c r="E16" s="78">
        <f>D17*$G$16</f>
        <v>0</v>
      </c>
      <c r="G16" s="82">
        <v>820.31</v>
      </c>
      <c r="H16" s="69" t="s">
        <v>84</v>
      </c>
      <c r="I16" s="70" t="s">
        <v>64</v>
      </c>
      <c r="J16" s="304" t="s">
        <v>85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3" customHeight="1" x14ac:dyDescent="0.2">
      <c r="A17" s="73" t="s">
        <v>86</v>
      </c>
      <c r="B17" s="252"/>
      <c r="C17" s="252"/>
      <c r="D17" s="252"/>
      <c r="E17" s="252"/>
      <c r="G17" s="82"/>
      <c r="H17" s="69"/>
      <c r="I17" s="70" t="s">
        <v>87</v>
      </c>
      <c r="J17" s="30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3" customHeight="1" x14ac:dyDescent="0.2">
      <c r="A18" s="67" t="s">
        <v>281</v>
      </c>
      <c r="B18" s="68">
        <f>$G$18*'Page 1-Enrollment Plan'!B23</f>
        <v>0</v>
      </c>
      <c r="C18" s="68">
        <f>$G$18*'Page 1-Enrollment Plan'!C23</f>
        <v>0</v>
      </c>
      <c r="D18" s="68">
        <f>$G$18*'Page 1-Enrollment Plan'!D23</f>
        <v>0</v>
      </c>
      <c r="E18" s="68">
        <f>$G$18*'Page 1-Enrollment Plan'!E23</f>
        <v>0</v>
      </c>
      <c r="G18" s="82">
        <v>295</v>
      </c>
      <c r="H18" s="283" t="s">
        <v>59</v>
      </c>
      <c r="I18" s="284" t="s">
        <v>64</v>
      </c>
      <c r="J18" s="305" t="s">
        <v>282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">
      <c r="A19" s="67" t="s">
        <v>88</v>
      </c>
      <c r="B19" s="68">
        <f>IF(B23&gt;0.3499,B24*$G$19,0)</f>
        <v>0</v>
      </c>
      <c r="C19" s="68">
        <f>IF(C23&gt;0.3499,C24*$G$19,0)</f>
        <v>0</v>
      </c>
      <c r="D19" s="68">
        <f>IF(D23&gt;0.3499,D24*$G$19,0)</f>
        <v>0</v>
      </c>
      <c r="E19" s="68">
        <f>IF(E23&gt;0.3499,E24*$G$19,0)</f>
        <v>0</v>
      </c>
      <c r="G19" s="83">
        <v>259.2</v>
      </c>
      <c r="H19" s="69" t="s">
        <v>89</v>
      </c>
      <c r="I19" s="70" t="s">
        <v>64</v>
      </c>
      <c r="J19" s="306" t="s">
        <v>272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3" customHeight="1" x14ac:dyDescent="0.2">
      <c r="A20" s="67" t="s">
        <v>90</v>
      </c>
      <c r="B20" s="68">
        <f>B10*$G$20</f>
        <v>0</v>
      </c>
      <c r="C20" s="68">
        <f>C10*$G$20</f>
        <v>0</v>
      </c>
      <c r="D20" s="68">
        <f>C10*$G$20</f>
        <v>0</v>
      </c>
      <c r="E20" s="68">
        <f>D10*$G$20</f>
        <v>0</v>
      </c>
      <c r="G20" s="80">
        <v>1671</v>
      </c>
      <c r="H20" s="69" t="s">
        <v>91</v>
      </c>
      <c r="I20" s="70" t="s">
        <v>64</v>
      </c>
      <c r="J20" s="30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57" customHeight="1" x14ac:dyDescent="0.2">
      <c r="A21" s="67" t="s">
        <v>92</v>
      </c>
      <c r="B21" s="68">
        <f>B13*$G$21*0.98</f>
        <v>0</v>
      </c>
      <c r="C21" s="68">
        <f t="shared" ref="C21" si="0">B13*$G$21*0.98</f>
        <v>0</v>
      </c>
      <c r="D21" s="68">
        <f>C13*$G$21*0.98</f>
        <v>0</v>
      </c>
      <c r="E21" s="68">
        <f>D13*$G$21*0.96</f>
        <v>0</v>
      </c>
      <c r="G21" s="82">
        <v>50</v>
      </c>
      <c r="H21" s="69" t="s">
        <v>74</v>
      </c>
      <c r="I21" s="70" t="s">
        <v>64</v>
      </c>
      <c r="J21" s="304" t="s">
        <v>93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">
      <c r="A22" s="67" t="s">
        <v>269</v>
      </c>
      <c r="B22" s="68">
        <f>MAX(1500,$G$22*B24)</f>
        <v>1500</v>
      </c>
      <c r="C22" s="68">
        <f>MAX(1500,$G$22*C24)</f>
        <v>1500</v>
      </c>
      <c r="D22" s="68">
        <f>MAX(1500,$G$22*D24)</f>
        <v>1500</v>
      </c>
      <c r="E22" s="68">
        <f>MAX(1500,$G$22*E24)</f>
        <v>1500</v>
      </c>
      <c r="G22" s="82">
        <v>62.11</v>
      </c>
      <c r="H22" s="69" t="s">
        <v>270</v>
      </c>
      <c r="I22" s="70" t="s">
        <v>64</v>
      </c>
      <c r="J22" s="304" t="s">
        <v>271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3" customHeight="1" x14ac:dyDescent="0.2">
      <c r="A23" s="67" t="s">
        <v>94</v>
      </c>
      <c r="B23" s="253">
        <v>0</v>
      </c>
      <c r="C23" s="253">
        <v>0</v>
      </c>
      <c r="D23" s="254">
        <v>0</v>
      </c>
      <c r="E23" s="254">
        <v>0</v>
      </c>
      <c r="G23" s="82"/>
      <c r="H23" s="69"/>
      <c r="I23" s="70" t="s">
        <v>96</v>
      </c>
      <c r="J23" s="30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3" customHeight="1" x14ac:dyDescent="0.2">
      <c r="A24" s="67" t="s">
        <v>97</v>
      </c>
      <c r="B24" s="84">
        <f>B23*SUM('Page 1-Enrollment Plan'!B7:B19)</f>
        <v>0</v>
      </c>
      <c r="C24" s="84">
        <f>C23*SUM('Page 1-Enrollment Plan'!C7:C19)</f>
        <v>0</v>
      </c>
      <c r="D24" s="84">
        <f>D23*SUM('Page 1-Enrollment Plan'!D7:D19)</f>
        <v>0</v>
      </c>
      <c r="E24" s="84">
        <f>E23*SUM('Page 1-Enrollment Plan'!E7:E19)</f>
        <v>0</v>
      </c>
      <c r="G24" s="82"/>
      <c r="H24" s="69"/>
      <c r="I24" s="70" t="s">
        <v>64</v>
      </c>
      <c r="J24" s="30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3" customHeight="1" x14ac:dyDescent="0.2">
      <c r="A25" s="67" t="s">
        <v>98</v>
      </c>
      <c r="B25" s="277">
        <v>0</v>
      </c>
      <c r="C25" s="277">
        <v>0</v>
      </c>
      <c r="D25" s="277">
        <v>0</v>
      </c>
      <c r="E25" s="277">
        <v>0</v>
      </c>
      <c r="G25" s="72"/>
      <c r="H25" s="69" t="s">
        <v>99</v>
      </c>
      <c r="I25" s="70"/>
      <c r="J25" s="30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customHeight="1" x14ac:dyDescent="0.2">
      <c r="A26" s="75"/>
      <c r="B26" s="85"/>
      <c r="C26" s="86"/>
      <c r="D26" s="86"/>
      <c r="E26" s="86"/>
      <c r="G26" s="2"/>
      <c r="H26" s="2"/>
      <c r="I26" s="2"/>
      <c r="J26" s="30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customHeight="1" x14ac:dyDescent="0.2">
      <c r="A27" s="2"/>
      <c r="B27" s="2"/>
      <c r="C27" s="2"/>
      <c r="D27" s="2"/>
      <c r="E27" s="2"/>
      <c r="G27" s="2"/>
      <c r="H27" s="2"/>
      <c r="I27" s="2"/>
      <c r="J27" s="30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customHeight="1" x14ac:dyDescent="0.2">
      <c r="A28" s="1" t="s">
        <v>100</v>
      </c>
      <c r="B28" s="2"/>
      <c r="C28" s="2"/>
      <c r="D28" s="2"/>
      <c r="E28" s="2"/>
      <c r="G28" s="2"/>
      <c r="H28" s="2"/>
      <c r="I28" s="2"/>
      <c r="J28" s="30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5.5" customHeight="1" x14ac:dyDescent="0.2">
      <c r="A29" s="87" t="s">
        <v>101</v>
      </c>
      <c r="B29" s="88">
        <v>0.03</v>
      </c>
      <c r="C29" s="88">
        <v>0.03</v>
      </c>
      <c r="D29" s="88">
        <v>0.03</v>
      </c>
      <c r="E29" s="88">
        <v>0.03</v>
      </c>
      <c r="G29" s="2"/>
      <c r="H29" s="2"/>
      <c r="I29" s="2"/>
      <c r="J29" s="30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5.5" customHeight="1" x14ac:dyDescent="0.2">
      <c r="A30" s="87" t="s">
        <v>102</v>
      </c>
      <c r="B30" s="88">
        <v>0.01</v>
      </c>
      <c r="C30" s="88">
        <v>0.01</v>
      </c>
      <c r="D30" s="88">
        <v>0.01</v>
      </c>
      <c r="E30" s="88">
        <v>0.01</v>
      </c>
      <c r="G30" s="2"/>
      <c r="H30" s="2"/>
      <c r="I30" s="2"/>
      <c r="J30" s="30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5.5" customHeight="1" x14ac:dyDescent="0.2">
      <c r="A31" s="70" t="s">
        <v>103</v>
      </c>
      <c r="B31" s="89">
        <v>0.20949999999999999</v>
      </c>
      <c r="C31" s="89">
        <f>B31</f>
        <v>0.20949999999999999</v>
      </c>
      <c r="D31" s="89">
        <f>C31</f>
        <v>0.20949999999999999</v>
      </c>
      <c r="E31" s="89">
        <f>D31</f>
        <v>0.20949999999999999</v>
      </c>
      <c r="G31" s="2"/>
      <c r="H31" s="2"/>
      <c r="I31" s="2"/>
      <c r="J31" s="30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5.5" customHeight="1" x14ac:dyDescent="0.2">
      <c r="A32" s="70" t="s">
        <v>104</v>
      </c>
      <c r="B32" s="88" t="s">
        <v>95</v>
      </c>
      <c r="C32" s="88" t="s">
        <v>95</v>
      </c>
      <c r="D32" s="88" t="s">
        <v>95</v>
      </c>
      <c r="E32" s="88" t="s">
        <v>95</v>
      </c>
      <c r="G32" s="2"/>
      <c r="H32" s="2"/>
      <c r="I32" s="2"/>
      <c r="J32" s="30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5.5" customHeight="1" x14ac:dyDescent="0.2">
      <c r="A33" s="70" t="s">
        <v>105</v>
      </c>
      <c r="B33" s="88">
        <v>1.4500000000000001E-2</v>
      </c>
      <c r="C33" s="88">
        <v>1.4500000000000001E-2</v>
      </c>
      <c r="D33" s="88">
        <v>1.4500000000000001E-2</v>
      </c>
      <c r="E33" s="88">
        <v>1.4500000000000001E-2</v>
      </c>
      <c r="G33" s="90"/>
      <c r="H33" s="2"/>
      <c r="I33" s="2"/>
      <c r="J33" s="30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5.5" customHeight="1" x14ac:dyDescent="0.2">
      <c r="A34" s="70" t="s">
        <v>106</v>
      </c>
      <c r="B34" s="88">
        <v>3.0000000000000001E-3</v>
      </c>
      <c r="C34" s="88">
        <v>3.0000000000000001E-3</v>
      </c>
      <c r="D34" s="88">
        <v>3.0000000000000001E-3</v>
      </c>
      <c r="E34" s="88">
        <v>3.0000000000000001E-3</v>
      </c>
      <c r="G34" s="2"/>
      <c r="H34" s="2"/>
      <c r="I34" s="2"/>
      <c r="J34" s="307" t="s">
        <v>107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8.25" x14ac:dyDescent="0.2">
      <c r="A35" s="70" t="s">
        <v>108</v>
      </c>
      <c r="B35" s="91">
        <v>0</v>
      </c>
      <c r="C35" s="91">
        <f>128*'Page 1-Enrollment Plan'!C21</f>
        <v>0</v>
      </c>
      <c r="D35" s="91">
        <f>128*'Page 1-Enrollment Plan'!D21</f>
        <v>0</v>
      </c>
      <c r="E35" s="91">
        <f>128*'Page 1-Enrollment Plan'!E21</f>
        <v>0</v>
      </c>
      <c r="G35" s="2"/>
      <c r="H35" s="2"/>
      <c r="I35" s="2" t="s">
        <v>109</v>
      </c>
      <c r="J35" s="309" t="s">
        <v>110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5.5" x14ac:dyDescent="0.2">
      <c r="A36" s="2"/>
      <c r="B36" s="2"/>
      <c r="C36" s="2"/>
      <c r="D36" s="2"/>
      <c r="E36" s="2"/>
      <c r="G36" s="2"/>
      <c r="H36" s="2"/>
      <c r="I36" s="2"/>
      <c r="J36" s="309" t="s">
        <v>111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2"/>
      <c r="B37" s="2"/>
      <c r="C37" s="2"/>
      <c r="D37" s="2"/>
      <c r="E37" s="2"/>
      <c r="G37" s="2"/>
      <c r="H37" s="2"/>
      <c r="I37" s="2"/>
      <c r="J37" s="30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customHeight="1" x14ac:dyDescent="0.2">
      <c r="A38" s="92" t="s">
        <v>112</v>
      </c>
      <c r="B38" s="93" t="s">
        <v>113</v>
      </c>
      <c r="C38" s="94" t="s">
        <v>114</v>
      </c>
      <c r="D38" s="2"/>
      <c r="E38" s="2"/>
      <c r="G38" s="2"/>
      <c r="H38" s="2"/>
      <c r="I38" s="2"/>
      <c r="J38" s="30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customHeight="1" x14ac:dyDescent="0.2">
      <c r="A39" s="2" t="s">
        <v>115</v>
      </c>
      <c r="B39" s="249"/>
      <c r="C39" s="2" t="s">
        <v>116</v>
      </c>
      <c r="D39" s="2"/>
      <c r="E39" s="2"/>
      <c r="G39" s="2"/>
      <c r="H39" s="2"/>
      <c r="I39" s="2"/>
      <c r="J39" s="30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">
      <c r="A40" s="2" t="s">
        <v>117</v>
      </c>
      <c r="B40" s="249"/>
      <c r="C40" s="2" t="s">
        <v>118</v>
      </c>
      <c r="D40" s="2"/>
      <c r="E40" s="2"/>
      <c r="G40" s="2"/>
      <c r="H40" s="2"/>
      <c r="I40" s="2"/>
      <c r="J40" s="30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">
      <c r="A41" s="2" t="s">
        <v>119</v>
      </c>
      <c r="B41" s="249"/>
      <c r="C41" s="2" t="s">
        <v>120</v>
      </c>
      <c r="D41" s="2" t="s">
        <v>121</v>
      </c>
      <c r="E41" s="2"/>
      <c r="G41" s="2"/>
      <c r="H41" s="2"/>
      <c r="I41" s="2"/>
      <c r="J41" s="30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2" t="s">
        <v>122</v>
      </c>
      <c r="B42" s="249"/>
      <c r="C42" s="2" t="s">
        <v>120</v>
      </c>
      <c r="D42" s="2"/>
      <c r="E42" s="2"/>
      <c r="G42" s="2"/>
      <c r="H42" s="2"/>
      <c r="I42" s="2"/>
      <c r="J42" s="30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2" t="s">
        <v>123</v>
      </c>
      <c r="B43" s="249"/>
      <c r="C43" s="2" t="s">
        <v>120</v>
      </c>
      <c r="D43" s="2"/>
      <c r="E43" s="2"/>
      <c r="G43" s="2"/>
      <c r="H43" s="2"/>
      <c r="I43" s="2"/>
      <c r="J43" s="30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">
      <c r="A44" s="2" t="s">
        <v>124</v>
      </c>
      <c r="B44" s="249"/>
      <c r="C44" s="2" t="s">
        <v>120</v>
      </c>
      <c r="D44" s="2"/>
      <c r="E44" s="2"/>
      <c r="G44" s="2"/>
      <c r="H44" s="2"/>
      <c r="I44" s="2"/>
      <c r="J44" s="30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customHeight="1" x14ac:dyDescent="0.2">
      <c r="A45" s="2" t="s">
        <v>125</v>
      </c>
      <c r="B45" s="249"/>
      <c r="C45" s="2" t="s">
        <v>126</v>
      </c>
      <c r="D45" s="2"/>
      <c r="E45" s="2"/>
      <c r="G45" s="2"/>
      <c r="H45" s="2"/>
      <c r="I45" s="2"/>
      <c r="J45" s="30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customHeight="1" x14ac:dyDescent="0.2">
      <c r="A46" s="2" t="s">
        <v>127</v>
      </c>
      <c r="B46" s="249"/>
      <c r="C46" s="2" t="s">
        <v>128</v>
      </c>
      <c r="D46" s="2"/>
      <c r="E46" s="2"/>
      <c r="G46" s="2"/>
      <c r="H46" s="2"/>
      <c r="I46" s="2"/>
      <c r="J46" s="30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customHeight="1" x14ac:dyDescent="0.2">
      <c r="A47" s="2" t="s">
        <v>129</v>
      </c>
      <c r="B47" s="249"/>
      <c r="C47" s="2" t="s">
        <v>128</v>
      </c>
      <c r="D47" s="96"/>
      <c r="E47" s="96"/>
      <c r="G47" s="96"/>
      <c r="H47" s="2"/>
      <c r="I47" s="2"/>
      <c r="J47" s="30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customHeight="1" x14ac:dyDescent="0.2">
      <c r="A48" s="2" t="s">
        <v>130</v>
      </c>
      <c r="B48" s="249"/>
      <c r="C48" s="2" t="s">
        <v>128</v>
      </c>
      <c r="D48" s="2"/>
      <c r="E48" s="2"/>
      <c r="G48" s="2"/>
      <c r="H48" s="2"/>
      <c r="I48" s="2"/>
      <c r="J48" s="30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customHeight="1" x14ac:dyDescent="0.2">
      <c r="A49" s="2" t="s">
        <v>131</v>
      </c>
      <c r="B49" s="249"/>
      <c r="C49" s="2" t="s">
        <v>128</v>
      </c>
      <c r="D49" s="2"/>
      <c r="E49" s="2"/>
      <c r="G49" s="2"/>
      <c r="H49" s="2"/>
      <c r="I49" s="2"/>
      <c r="J49" s="30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customHeight="1" x14ac:dyDescent="0.2">
      <c r="A50" s="2" t="s">
        <v>132</v>
      </c>
      <c r="B50" s="249"/>
      <c r="C50" s="2" t="s">
        <v>128</v>
      </c>
      <c r="D50" s="2"/>
      <c r="E50" s="2"/>
      <c r="G50" s="2"/>
      <c r="H50" s="2"/>
      <c r="I50" s="2"/>
      <c r="J50" s="30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customHeight="1" x14ac:dyDescent="0.2">
      <c r="A51" s="2" t="s">
        <v>133</v>
      </c>
      <c r="B51" s="249"/>
      <c r="C51" s="2" t="s">
        <v>128</v>
      </c>
      <c r="D51" s="2"/>
      <c r="E51" s="2"/>
      <c r="G51" s="2"/>
      <c r="H51" s="2"/>
      <c r="I51" s="2"/>
      <c r="J51" s="30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customHeight="1" x14ac:dyDescent="0.2">
      <c r="A52" s="2" t="s">
        <v>134</v>
      </c>
      <c r="B52" s="249"/>
      <c r="C52" s="2" t="s">
        <v>128</v>
      </c>
      <c r="D52" s="2"/>
      <c r="E52" s="2"/>
      <c r="G52" s="2"/>
      <c r="H52" s="2"/>
      <c r="I52" s="2"/>
      <c r="J52" s="30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customHeight="1" x14ac:dyDescent="0.2">
      <c r="A53" s="2" t="s">
        <v>135</v>
      </c>
      <c r="B53" s="249"/>
      <c r="C53" s="2" t="s">
        <v>128</v>
      </c>
      <c r="D53" s="2"/>
      <c r="E53" s="2"/>
      <c r="G53" s="2"/>
      <c r="H53" s="2"/>
      <c r="I53" s="2"/>
      <c r="J53" s="30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customHeight="1" x14ac:dyDescent="0.2">
      <c r="A54" s="2" t="s">
        <v>136</v>
      </c>
      <c r="B54" s="249"/>
      <c r="C54" s="2" t="s">
        <v>128</v>
      </c>
      <c r="D54" s="2"/>
      <c r="E54" s="2"/>
      <c r="G54" s="2"/>
      <c r="H54" s="2"/>
      <c r="I54" s="2"/>
      <c r="J54" s="30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customHeight="1" x14ac:dyDescent="0.2">
      <c r="A55" s="2" t="s">
        <v>137</v>
      </c>
      <c r="B55" s="249"/>
      <c r="C55" s="2" t="s">
        <v>128</v>
      </c>
      <c r="D55" s="2"/>
      <c r="E55" s="2"/>
      <c r="G55" s="2"/>
      <c r="H55" s="2"/>
      <c r="I55" s="2"/>
      <c r="J55" s="30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customHeight="1" x14ac:dyDescent="0.2">
      <c r="A56" s="2" t="s">
        <v>138</v>
      </c>
      <c r="B56" s="249"/>
      <c r="C56" s="2" t="s">
        <v>128</v>
      </c>
      <c r="D56" s="2"/>
      <c r="E56" s="2"/>
      <c r="G56" s="2"/>
      <c r="H56" s="2"/>
      <c r="I56" s="2"/>
      <c r="J56" s="30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customHeight="1" x14ac:dyDescent="0.2">
      <c r="A57" s="2"/>
      <c r="B57" s="95"/>
      <c r="C57" s="2"/>
      <c r="D57" s="2"/>
      <c r="E57" s="2"/>
      <c r="G57" s="2"/>
      <c r="H57" s="2"/>
      <c r="I57" s="2"/>
      <c r="J57" s="30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customHeight="1" x14ac:dyDescent="0.2">
      <c r="A58" s="2"/>
      <c r="B58" s="97"/>
      <c r="C58" s="2"/>
      <c r="D58" s="2"/>
      <c r="E58" s="2"/>
      <c r="G58" s="2"/>
      <c r="H58" s="2"/>
      <c r="I58" s="2"/>
      <c r="J58" s="30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customHeight="1" x14ac:dyDescent="0.2">
      <c r="A59" s="2"/>
      <c r="B59" s="97"/>
      <c r="C59" s="2"/>
      <c r="D59" s="2"/>
      <c r="E59" s="2"/>
      <c r="G59" s="2"/>
      <c r="H59" s="2"/>
      <c r="I59" s="2"/>
      <c r="J59" s="30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customHeight="1" x14ac:dyDescent="0.2">
      <c r="A60" s="2"/>
      <c r="B60" s="97"/>
      <c r="C60" s="2"/>
      <c r="D60" s="2"/>
      <c r="E60" s="2"/>
      <c r="G60" s="2"/>
      <c r="H60" s="2"/>
      <c r="I60" s="2"/>
      <c r="J60" s="30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customHeight="1" x14ac:dyDescent="0.2">
      <c r="A61" s="92" t="s">
        <v>139</v>
      </c>
      <c r="B61" s="2"/>
      <c r="C61" s="2"/>
      <c r="D61" s="2"/>
      <c r="E61" s="2"/>
      <c r="G61" s="2"/>
      <c r="H61" s="2"/>
      <c r="I61" s="2"/>
      <c r="J61" s="30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customHeight="1" x14ac:dyDescent="0.2">
      <c r="A62" s="28"/>
      <c r="B62" s="28"/>
      <c r="C62" s="95"/>
      <c r="D62" s="95"/>
      <c r="E62" s="95"/>
      <c r="G62" s="95"/>
      <c r="H62" s="2"/>
      <c r="I62" s="2"/>
      <c r="J62" s="30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customHeight="1" x14ac:dyDescent="0.2">
      <c r="A63" s="28"/>
      <c r="B63" s="28"/>
      <c r="C63" s="95"/>
      <c r="D63" s="95"/>
      <c r="E63" s="95"/>
      <c r="G63" s="95"/>
      <c r="H63" s="2"/>
      <c r="I63" s="2"/>
      <c r="J63" s="30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customHeight="1" x14ac:dyDescent="0.2">
      <c r="A64" s="28"/>
      <c r="B64" s="28"/>
      <c r="C64" s="95"/>
      <c r="D64" s="95"/>
      <c r="E64" s="95"/>
      <c r="G64" s="95"/>
      <c r="H64" s="2"/>
      <c r="I64" s="2"/>
      <c r="J64" s="30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customHeight="1" x14ac:dyDescent="0.2">
      <c r="A65" s="28"/>
      <c r="B65" s="28"/>
      <c r="C65" s="95"/>
      <c r="D65" s="95"/>
      <c r="E65" s="95"/>
      <c r="G65" s="95"/>
      <c r="H65" s="2"/>
      <c r="I65" s="2"/>
      <c r="J65" s="30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customHeight="1" x14ac:dyDescent="0.2">
      <c r="A66" s="28"/>
      <c r="B66" s="95"/>
      <c r="C66" s="98"/>
      <c r="D66" s="98"/>
      <c r="E66" s="98"/>
      <c r="G66" s="95"/>
      <c r="H66" s="2"/>
      <c r="I66" s="2"/>
      <c r="J66" s="30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customHeight="1" x14ac:dyDescent="0.2">
      <c r="A67" s="2" t="s">
        <v>140</v>
      </c>
      <c r="B67" s="97">
        <f t="shared" ref="B67:E67" si="1">SUM(B62:B66)</f>
        <v>0</v>
      </c>
      <c r="C67" s="97">
        <f t="shared" si="1"/>
        <v>0</v>
      </c>
      <c r="D67" s="97">
        <f t="shared" si="1"/>
        <v>0</v>
      </c>
      <c r="E67" s="97">
        <f t="shared" si="1"/>
        <v>0</v>
      </c>
      <c r="G67" s="97"/>
      <c r="H67" s="2"/>
      <c r="I67" s="2"/>
      <c r="J67" s="30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</sheetData>
  <mergeCells count="1">
    <mergeCell ref="G4:H4"/>
  </mergeCells>
  <phoneticPr fontId="46" type="noConversion"/>
  <printOptions horizontalCentered="1"/>
  <pageMargins left="0.27013888888888898" right="0.2" top="1" bottom="1" header="0.51180555555555496" footer="0.51180555555555496"/>
  <pageSetup firstPageNumber="0" orientation="landscape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1"/>
  <sheetViews>
    <sheetView zoomScaleNormal="100" zoomScalePageLayoutView="110" workbookViewId="0">
      <selection activeCell="B33" sqref="B33"/>
    </sheetView>
  </sheetViews>
  <sheetFormatPr defaultColWidth="8.85546875" defaultRowHeight="12.75" x14ac:dyDescent="0.2"/>
  <cols>
    <col min="1" max="1" width="38.42578125" customWidth="1"/>
    <col min="2" max="5" width="15.140625" customWidth="1"/>
    <col min="6" max="6" width="47.140625" customWidth="1"/>
    <col min="7" max="26" width="8.7109375" customWidth="1"/>
    <col min="27" max="1025" width="14.42578125" customWidth="1"/>
  </cols>
  <sheetData>
    <row r="1" spans="1:26" ht="18.75" x14ac:dyDescent="0.3">
      <c r="A1" s="99">
        <f>'Page 3-Assumptions'!A1</f>
        <v>0</v>
      </c>
      <c r="B1" s="100"/>
      <c r="C1" s="100"/>
      <c r="D1" s="100"/>
      <c r="E1" s="17"/>
      <c r="F1" s="101" t="s">
        <v>141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3">
      <c r="A2" s="102" t="str">
        <f>B3</f>
        <v>FY 2020-21 Estimate</v>
      </c>
      <c r="B2" s="22"/>
      <c r="C2" s="22"/>
      <c r="D2" s="22"/>
      <c r="E2" s="19"/>
      <c r="F2" s="10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04"/>
      <c r="B3" s="340" t="str">
        <f>'Page 10-6 yr Budget-detail'!B4</f>
        <v>FY 2020-21 Estimate</v>
      </c>
      <c r="C3" s="340"/>
      <c r="D3" s="340"/>
      <c r="E3" s="340"/>
      <c r="F3" s="105" t="s">
        <v>142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25.5" x14ac:dyDescent="0.2">
      <c r="A4" s="21"/>
      <c r="B4" s="107" t="s">
        <v>143</v>
      </c>
      <c r="C4" s="107" t="s">
        <v>144</v>
      </c>
      <c r="D4" s="107" t="s">
        <v>145</v>
      </c>
      <c r="E4" s="107" t="s">
        <v>140</v>
      </c>
      <c r="F4" s="108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x14ac:dyDescent="0.2">
      <c r="A5" s="109" t="s">
        <v>146</v>
      </c>
      <c r="B5" s="110"/>
      <c r="C5" s="110"/>
      <c r="D5" s="110"/>
      <c r="E5" s="111">
        <f>'Page 1-Enrollment Plan'!B21</f>
        <v>0</v>
      </c>
      <c r="F5" s="108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x14ac:dyDescent="0.2">
      <c r="A6" s="109" t="s">
        <v>147</v>
      </c>
      <c r="B6" s="110"/>
      <c r="C6" s="110"/>
      <c r="D6" s="110"/>
      <c r="E6" s="112">
        <f>'Page 1-Enrollment Plan'!B23</f>
        <v>0</v>
      </c>
      <c r="F6" s="108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x14ac:dyDescent="0.2">
      <c r="A7" s="21" t="s">
        <v>54</v>
      </c>
      <c r="B7" s="110"/>
      <c r="C7" s="110"/>
      <c r="D7" s="110"/>
      <c r="E7" s="113"/>
      <c r="F7" s="108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33.950000000000003" customHeight="1" x14ac:dyDescent="0.2">
      <c r="A8" s="81" t="s">
        <v>148</v>
      </c>
      <c r="B8" s="115">
        <v>0</v>
      </c>
      <c r="C8" s="116">
        <v>0</v>
      </c>
      <c r="D8" s="115"/>
      <c r="E8" s="117">
        <f t="shared" ref="E8:E19" si="0">SUM(B8:D8)</f>
        <v>0</v>
      </c>
      <c r="F8" s="299" t="s">
        <v>292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114" t="s">
        <v>149</v>
      </c>
      <c r="B9" s="118">
        <v>0</v>
      </c>
      <c r="C9" s="118">
        <v>0</v>
      </c>
      <c r="D9" s="118">
        <v>0</v>
      </c>
      <c r="E9" s="117">
        <f t="shared" si="0"/>
        <v>0</v>
      </c>
      <c r="F9" s="11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114" t="s">
        <v>150</v>
      </c>
      <c r="B10" s="115">
        <v>0</v>
      </c>
      <c r="C10" s="115">
        <v>0</v>
      </c>
      <c r="D10" s="115"/>
      <c r="E10" s="117">
        <f t="shared" si="0"/>
        <v>0</v>
      </c>
      <c r="F10" s="1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114" t="s">
        <v>151</v>
      </c>
      <c r="B11" s="115">
        <v>0</v>
      </c>
      <c r="C11" s="115">
        <v>0</v>
      </c>
      <c r="D11" s="115"/>
      <c r="E11" s="117">
        <f t="shared" si="0"/>
        <v>0</v>
      </c>
      <c r="F11" s="11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114" t="s">
        <v>152</v>
      </c>
      <c r="B12" s="115">
        <f>B73</f>
        <v>0</v>
      </c>
      <c r="C12" s="115">
        <v>0</v>
      </c>
      <c r="D12" s="115"/>
      <c r="E12" s="117">
        <f t="shared" si="0"/>
        <v>0</v>
      </c>
      <c r="F12" s="11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114" t="s">
        <v>153</v>
      </c>
      <c r="B13" s="115">
        <f>100*E5*0.8</f>
        <v>0</v>
      </c>
      <c r="C13" s="115">
        <v>0</v>
      </c>
      <c r="D13" s="115"/>
      <c r="E13" s="117">
        <f t="shared" si="0"/>
        <v>0</v>
      </c>
      <c r="F13" s="1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120" t="s">
        <v>154</v>
      </c>
      <c r="B14" s="115">
        <v>0</v>
      </c>
      <c r="C14" s="115">
        <v>0</v>
      </c>
      <c r="D14" s="115"/>
      <c r="E14" s="117">
        <f t="shared" si="0"/>
        <v>0</v>
      </c>
      <c r="F14" s="11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120" t="s">
        <v>155</v>
      </c>
      <c r="B15" s="118">
        <f>E6*'Page 3-Assumptions'!C8</f>
        <v>0</v>
      </c>
      <c r="C15" s="118">
        <v>0</v>
      </c>
      <c r="D15" s="118">
        <v>0</v>
      </c>
      <c r="E15" s="117">
        <f t="shared" si="0"/>
        <v>0</v>
      </c>
      <c r="F15" s="11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120" t="s">
        <v>156</v>
      </c>
      <c r="B16" s="118">
        <f>'Page 3-Assumptions'!C9</f>
        <v>0</v>
      </c>
      <c r="C16" s="118">
        <v>0</v>
      </c>
      <c r="D16" s="118">
        <v>0</v>
      </c>
      <c r="E16" s="117">
        <f t="shared" si="0"/>
        <v>0</v>
      </c>
      <c r="F16" s="1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14" t="s">
        <v>157</v>
      </c>
      <c r="B17" s="118">
        <v>0</v>
      </c>
      <c r="C17" s="118">
        <f>'Page 3-Assumptions'!$C$11</f>
        <v>0</v>
      </c>
      <c r="D17" s="118">
        <v>0</v>
      </c>
      <c r="E17" s="117">
        <f t="shared" si="0"/>
        <v>0</v>
      </c>
      <c r="F17" s="1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114" t="s">
        <v>79</v>
      </c>
      <c r="B18" s="118">
        <f>'Page 3-Assumptions'!C14</f>
        <v>500</v>
      </c>
      <c r="C18" s="118">
        <v>0</v>
      </c>
      <c r="D18" s="118">
        <v>0</v>
      </c>
      <c r="E18" s="117">
        <f t="shared" si="0"/>
        <v>500</v>
      </c>
      <c r="F18" s="1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14" t="s">
        <v>158</v>
      </c>
      <c r="B19" s="116">
        <v>0</v>
      </c>
      <c r="C19" s="115">
        <v>0</v>
      </c>
      <c r="D19" s="115"/>
      <c r="E19" s="117">
        <f t="shared" si="0"/>
        <v>0</v>
      </c>
      <c r="F19" s="1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2">
      <c r="A20" s="114" t="s">
        <v>83</v>
      </c>
      <c r="B20" s="118">
        <f>'Page 3-Assumptions'!C16</f>
        <v>0</v>
      </c>
      <c r="C20" s="118">
        <v>0</v>
      </c>
      <c r="D20" s="118">
        <v>0</v>
      </c>
      <c r="E20" s="117"/>
      <c r="F20" s="1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114" t="s">
        <v>281</v>
      </c>
      <c r="B21" s="118">
        <f>'Page 3-Assumptions'!C18</f>
        <v>0</v>
      </c>
      <c r="C21" s="118">
        <v>0</v>
      </c>
      <c r="D21" s="118">
        <v>0</v>
      </c>
      <c r="E21" s="117"/>
      <c r="F21" s="1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14" t="s">
        <v>88</v>
      </c>
      <c r="B22" s="118">
        <f>'Page 3-Assumptions'!C19*0</f>
        <v>0</v>
      </c>
      <c r="C22" s="118">
        <f>'Page 3-Assumptions'!$C$19</f>
        <v>0</v>
      </c>
      <c r="D22" s="118">
        <v>0</v>
      </c>
      <c r="E22" s="117">
        <f t="shared" ref="E22:E29" si="1">SUM(B22:D22)</f>
        <v>0</v>
      </c>
      <c r="F22" s="1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14" t="s">
        <v>159</v>
      </c>
      <c r="B23" s="118">
        <f>'Page 3-Assumptions'!C20*0</f>
        <v>0</v>
      </c>
      <c r="C23" s="118">
        <f>'Page 3-Assumptions'!$C$20</f>
        <v>0</v>
      </c>
      <c r="D23" s="118">
        <v>0</v>
      </c>
      <c r="E23" s="117">
        <f t="shared" si="1"/>
        <v>0</v>
      </c>
      <c r="F23" s="1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14" t="s">
        <v>92</v>
      </c>
      <c r="B24" s="118">
        <f>'Page 3-Assumptions'!C21</f>
        <v>0</v>
      </c>
      <c r="C24" s="118">
        <f>'Page 3-Assumptions'!$C$21</f>
        <v>0</v>
      </c>
      <c r="D24" s="118">
        <v>0</v>
      </c>
      <c r="E24" s="117">
        <f t="shared" si="1"/>
        <v>0</v>
      </c>
      <c r="F24" s="1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14" t="s">
        <v>273</v>
      </c>
      <c r="B25" s="118">
        <v>0</v>
      </c>
      <c r="C25" s="118">
        <f>'Page 3-Assumptions'!$C22</f>
        <v>1500</v>
      </c>
      <c r="D25" s="118">
        <v>0</v>
      </c>
      <c r="E25" s="117">
        <f t="shared" ref="E25" si="2">SUM(B25:D25)</f>
        <v>1500</v>
      </c>
      <c r="F25" s="11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14" t="s">
        <v>160</v>
      </c>
      <c r="B26" s="115">
        <v>0</v>
      </c>
      <c r="C26" s="115">
        <v>0</v>
      </c>
      <c r="D26" s="115">
        <v>0</v>
      </c>
      <c r="E26" s="117">
        <f t="shared" si="1"/>
        <v>0</v>
      </c>
      <c r="F26" s="11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x14ac:dyDescent="0.2">
      <c r="A27" s="114" t="s">
        <v>161</v>
      </c>
      <c r="B27" s="115">
        <v>0</v>
      </c>
      <c r="C27" s="115">
        <v>0</v>
      </c>
      <c r="D27" s="115">
        <f>'Support-CDE start-up grant'!B4</f>
        <v>0</v>
      </c>
      <c r="E27" s="117">
        <f t="shared" si="1"/>
        <v>0</v>
      </c>
      <c r="F27" s="299" t="s">
        <v>286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4" t="s">
        <v>58</v>
      </c>
      <c r="B28" s="118">
        <f>'Page 3-Assumptions'!C5*E6</f>
        <v>0</v>
      </c>
      <c r="C28" s="118">
        <v>0</v>
      </c>
      <c r="D28" s="118">
        <v>0</v>
      </c>
      <c r="E28" s="117">
        <f t="shared" si="1"/>
        <v>0</v>
      </c>
      <c r="F28" s="1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114" t="s">
        <v>162</v>
      </c>
      <c r="B29" s="121">
        <f>'Page 3-Assumptions'!C6</f>
        <v>0</v>
      </c>
      <c r="C29" s="121">
        <v>0</v>
      </c>
      <c r="D29" s="121">
        <f>'Page 3-Assumptions'!C6</f>
        <v>0</v>
      </c>
      <c r="E29" s="117">
        <f t="shared" si="1"/>
        <v>0</v>
      </c>
      <c r="F29" s="1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122" t="s">
        <v>163</v>
      </c>
      <c r="B30" s="123">
        <f>SUM(B8:B29)</f>
        <v>500</v>
      </c>
      <c r="C30" s="123">
        <f>SUM(C8:C29)</f>
        <v>1500</v>
      </c>
      <c r="D30" s="123">
        <f>SUM(D8:D29)</f>
        <v>0</v>
      </c>
      <c r="E30" s="123">
        <f>SUM(E8:E29)</f>
        <v>2000</v>
      </c>
      <c r="F30" s="11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124"/>
      <c r="B31" s="125"/>
      <c r="C31" s="125"/>
      <c r="D31" s="125"/>
      <c r="E31" s="126"/>
      <c r="F31" s="11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127" t="s">
        <v>100</v>
      </c>
      <c r="B32" s="125"/>
      <c r="C32" s="125"/>
      <c r="D32" s="125"/>
      <c r="E32" s="126"/>
      <c r="F32" s="1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114" t="s">
        <v>164</v>
      </c>
      <c r="B33" s="118">
        <f>'Page 2-Staffing Plan'!C32-(C33+D33)</f>
        <v>504700</v>
      </c>
      <c r="C33" s="116">
        <v>0</v>
      </c>
      <c r="D33" s="115">
        <f>'Support-CDE start-up grant'!B6+'Support-CDE start-up grant'!B8</f>
        <v>0</v>
      </c>
      <c r="E33" s="117">
        <f t="shared" ref="E33:E74" si="3">SUM(B33:D33)</f>
        <v>504700</v>
      </c>
      <c r="F33" s="11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114" t="s">
        <v>165</v>
      </c>
      <c r="B34" s="115">
        <f>('Page 3-Assumptions'!B39* 'Page 3-Assumptions'!B40)*('Page 2-Staffing Plan'!C15)*1</f>
        <v>0</v>
      </c>
      <c r="C34" s="116">
        <v>0</v>
      </c>
      <c r="D34" s="115"/>
      <c r="E34" s="117">
        <f t="shared" si="3"/>
        <v>0</v>
      </c>
      <c r="F34" s="11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114" t="s">
        <v>166</v>
      </c>
      <c r="B35" s="118">
        <f>((E33+E34)*1.45%)-C35</f>
        <v>7318.15</v>
      </c>
      <c r="C35" s="116">
        <f>ROUND((C33+C34)*1.45%,0)</f>
        <v>0</v>
      </c>
      <c r="D35" s="115">
        <f>ROUND((D33+D34)*1.45%,0)</f>
        <v>0</v>
      </c>
      <c r="E35" s="117">
        <f t="shared" si="3"/>
        <v>7318.15</v>
      </c>
      <c r="F35" s="11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114" t="s">
        <v>167</v>
      </c>
      <c r="B36" s="118">
        <v>0</v>
      </c>
      <c r="C36" s="116">
        <v>0</v>
      </c>
      <c r="D36" s="115">
        <f>ROUND((D33+D34)*6.2%,0)</f>
        <v>0</v>
      </c>
      <c r="E36" s="117">
        <f t="shared" si="3"/>
        <v>0</v>
      </c>
      <c r="F36" s="11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14" t="s">
        <v>168</v>
      </c>
      <c r="B37" s="128">
        <f>((E33+E34)*'Page 3-Assumptions'!C31)-C37</f>
        <v>105734.65</v>
      </c>
      <c r="C37" s="116">
        <v>0</v>
      </c>
      <c r="D37" s="115"/>
      <c r="E37" s="117">
        <f t="shared" si="3"/>
        <v>105734.65</v>
      </c>
      <c r="F37" s="1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14" t="s">
        <v>169</v>
      </c>
      <c r="B38" s="118">
        <f>(('Page 3-Assumptions'!B41*1.05*('Page 2-Staffing Plan'!C37)))</f>
        <v>0</v>
      </c>
      <c r="C38" s="116">
        <v>0</v>
      </c>
      <c r="D38" s="115"/>
      <c r="E38" s="117">
        <f t="shared" si="3"/>
        <v>0</v>
      </c>
      <c r="F38" s="119" t="s">
        <v>26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14" t="s">
        <v>170</v>
      </c>
      <c r="B39" s="118">
        <f>'Page 3-Assumptions'!B42*'Page 2-Staffing Plan'!C37</f>
        <v>0</v>
      </c>
      <c r="C39" s="116">
        <v>0</v>
      </c>
      <c r="D39" s="115"/>
      <c r="E39" s="117">
        <f t="shared" si="3"/>
        <v>0</v>
      </c>
      <c r="F39" s="119" t="s">
        <v>26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14" t="s">
        <v>171</v>
      </c>
      <c r="B40" s="118">
        <f>'Page 3-Assumptions'!$B$43*'Page 2-Staffing Plan'!C37</f>
        <v>0</v>
      </c>
      <c r="C40" s="116">
        <v>0</v>
      </c>
      <c r="D40" s="115"/>
      <c r="E40" s="117">
        <f t="shared" si="3"/>
        <v>0</v>
      </c>
      <c r="F40" s="11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14" t="s">
        <v>172</v>
      </c>
      <c r="B41" s="118">
        <v>0</v>
      </c>
      <c r="C41" s="116">
        <v>0</v>
      </c>
      <c r="D41" s="115"/>
      <c r="E41" s="117">
        <f t="shared" si="3"/>
        <v>0</v>
      </c>
      <c r="F41" s="11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114" t="s">
        <v>173</v>
      </c>
      <c r="B42" s="115">
        <f>('Page 3-Assumptions'!$B$45*'Page 2-Staffing Plan'!C37)</f>
        <v>0</v>
      </c>
      <c r="C42" s="129">
        <v>0</v>
      </c>
      <c r="D42" s="115"/>
      <c r="E42" s="117">
        <f t="shared" si="3"/>
        <v>0</v>
      </c>
      <c r="F42" s="11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114" t="s">
        <v>174</v>
      </c>
      <c r="B43" s="118">
        <v>0</v>
      </c>
      <c r="C43" s="116">
        <v>0</v>
      </c>
      <c r="D43" s="115"/>
      <c r="E43" s="117">
        <f t="shared" si="3"/>
        <v>0</v>
      </c>
      <c r="F43" s="11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114" t="s">
        <v>175</v>
      </c>
      <c r="B44" s="115">
        <f>E5*'Page 3-Assumptions'!$B$46</f>
        <v>0</v>
      </c>
      <c r="C44" s="116">
        <v>0</v>
      </c>
      <c r="D44" s="115" t="s">
        <v>26</v>
      </c>
      <c r="E44" s="117">
        <f t="shared" si="3"/>
        <v>0</v>
      </c>
      <c r="F44" s="11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114" t="s">
        <v>176</v>
      </c>
      <c r="B45" s="115">
        <f>5000*0</f>
        <v>0</v>
      </c>
      <c r="C45" s="116">
        <v>0</v>
      </c>
      <c r="D45" s="115">
        <f>'Support-CDE start-up grant'!B11</f>
        <v>0</v>
      </c>
      <c r="E45" s="117">
        <f t="shared" si="3"/>
        <v>0</v>
      </c>
      <c r="F45" s="11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114" t="s">
        <v>177</v>
      </c>
      <c r="B46" s="115"/>
      <c r="C46" s="116">
        <v>0</v>
      </c>
      <c r="D46" s="115">
        <f>'Support-CDE start-up grant'!B10</f>
        <v>0</v>
      </c>
      <c r="E46" s="117">
        <f t="shared" si="3"/>
        <v>0</v>
      </c>
      <c r="F46" s="11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114" t="s">
        <v>178</v>
      </c>
      <c r="B47" s="115"/>
      <c r="C47" s="116">
        <f>SUM(C16:C24)</f>
        <v>0</v>
      </c>
      <c r="D47" s="115"/>
      <c r="E47" s="117">
        <f t="shared" si="3"/>
        <v>0</v>
      </c>
      <c r="F47" s="11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114" t="s">
        <v>179</v>
      </c>
      <c r="B48" s="115">
        <f>50000*0</f>
        <v>0</v>
      </c>
      <c r="C48" s="116">
        <v>0</v>
      </c>
      <c r="D48" s="115">
        <f>'Support-CDE start-up grant'!B12</f>
        <v>0</v>
      </c>
      <c r="E48" s="117">
        <f t="shared" si="3"/>
        <v>0</v>
      </c>
      <c r="F48" s="11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114" t="s">
        <v>180</v>
      </c>
      <c r="B49" s="116"/>
      <c r="C49" s="116">
        <v>0</v>
      </c>
      <c r="D49" s="115"/>
      <c r="E49" s="117">
        <f t="shared" si="3"/>
        <v>0</v>
      </c>
      <c r="F49" s="11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114" t="s">
        <v>181</v>
      </c>
      <c r="B50" s="115"/>
      <c r="C50" s="116">
        <v>0</v>
      </c>
      <c r="D50" s="115"/>
      <c r="E50" s="117">
        <f t="shared" si="3"/>
        <v>0</v>
      </c>
      <c r="F50" s="11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114" t="s">
        <v>182</v>
      </c>
      <c r="B51" s="115"/>
      <c r="C51" s="116">
        <v>0</v>
      </c>
      <c r="D51" s="115"/>
      <c r="E51" s="117">
        <f t="shared" si="3"/>
        <v>0</v>
      </c>
      <c r="F51" s="11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114" t="s">
        <v>183</v>
      </c>
      <c r="B52" s="115">
        <f>(SUM('Page 1-Enrollment Plan'!C7:C17))*'Page 3-Assumptions'!$B$47</f>
        <v>0</v>
      </c>
      <c r="C52" s="116">
        <v>0</v>
      </c>
      <c r="D52" s="115"/>
      <c r="E52" s="117">
        <f t="shared" si="3"/>
        <v>0</v>
      </c>
      <c r="F52" s="11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114" t="s">
        <v>184</v>
      </c>
      <c r="B53" s="115">
        <f>('Page 3-Assumptions'!$B$48+'Page 3-Assumptions'!$B$49)*'Page 1-Enrollment Plan'!C21</f>
        <v>0</v>
      </c>
      <c r="C53" s="116">
        <v>0</v>
      </c>
      <c r="D53" s="115"/>
      <c r="E53" s="117">
        <f t="shared" si="3"/>
        <v>0</v>
      </c>
      <c r="F53" s="11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114" t="s">
        <v>185</v>
      </c>
      <c r="B54" s="118">
        <f>'Page 3-Assumptions'!C35</f>
        <v>0</v>
      </c>
      <c r="C54" s="116">
        <v>0</v>
      </c>
      <c r="D54" s="115"/>
      <c r="E54" s="117">
        <f t="shared" si="3"/>
        <v>0</v>
      </c>
      <c r="F54" s="11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114" t="s">
        <v>186</v>
      </c>
      <c r="B55" s="118">
        <f>'Page 3-Assumptions'!$C$34*(E33+E34)</f>
        <v>1514.1000000000001</v>
      </c>
      <c r="C55" s="116">
        <v>0</v>
      </c>
      <c r="D55" s="115">
        <f>'Page 3-Assumptions'!$B$34*(D33+D34)</f>
        <v>0</v>
      </c>
      <c r="E55" s="117">
        <f t="shared" si="3"/>
        <v>1514.1000000000001</v>
      </c>
      <c r="F55" s="11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114" t="s">
        <v>187</v>
      </c>
      <c r="B56" s="118">
        <f>((E33+E34)/100)*2</f>
        <v>10094</v>
      </c>
      <c r="C56" s="116">
        <v>0</v>
      </c>
      <c r="D56" s="115"/>
      <c r="E56" s="117">
        <f t="shared" si="3"/>
        <v>10094</v>
      </c>
      <c r="F56" s="11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114" t="s">
        <v>188</v>
      </c>
      <c r="B57" s="115"/>
      <c r="C57" s="116">
        <v>0</v>
      </c>
      <c r="D57" s="115"/>
      <c r="E57" s="117">
        <f t="shared" si="3"/>
        <v>0</v>
      </c>
      <c r="F57" s="11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114" t="s">
        <v>189</v>
      </c>
      <c r="B58" s="115">
        <f>'Page 3-Assumptions'!$B$50*'Page 1-Enrollment Plan'!$C$21</f>
        <v>0</v>
      </c>
      <c r="C58" s="116">
        <v>0</v>
      </c>
      <c r="D58" s="115"/>
      <c r="E58" s="117">
        <f t="shared" si="3"/>
        <v>0</v>
      </c>
      <c r="F58" s="11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114" t="s">
        <v>190</v>
      </c>
      <c r="B59" s="115">
        <f>E5*'Page 3-Assumptions'!$B$51*0</f>
        <v>0</v>
      </c>
      <c r="C59" s="116">
        <v>0</v>
      </c>
      <c r="D59" s="115"/>
      <c r="E59" s="117">
        <f t="shared" si="3"/>
        <v>0</v>
      </c>
      <c r="F59" s="1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114" t="s">
        <v>191</v>
      </c>
      <c r="B60" s="115">
        <f>'Page 2-Staffing Plan'!C37*'Page 3-Assumptions'!$B$44*0</f>
        <v>0</v>
      </c>
      <c r="C60" s="116">
        <v>0</v>
      </c>
      <c r="D60" s="115">
        <f>'Support-CDE start-up grant'!B14</f>
        <v>0</v>
      </c>
      <c r="E60" s="117">
        <f t="shared" si="3"/>
        <v>0</v>
      </c>
      <c r="F60" s="119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114" t="s">
        <v>192</v>
      </c>
      <c r="B61" s="115">
        <f>E28*'Page 3-Assumptions'!C29</f>
        <v>0</v>
      </c>
      <c r="C61" s="116">
        <v>0</v>
      </c>
      <c r="D61" s="115"/>
      <c r="E61" s="117">
        <f t="shared" si="3"/>
        <v>0</v>
      </c>
      <c r="F61" s="11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114" t="s">
        <v>193</v>
      </c>
      <c r="B62" s="115">
        <f>B28*'Page 3-Assumptions'!C30</f>
        <v>0</v>
      </c>
      <c r="C62" s="116">
        <v>0</v>
      </c>
      <c r="D62" s="115"/>
      <c r="E62" s="117">
        <f t="shared" si="3"/>
        <v>0</v>
      </c>
      <c r="F62" s="11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114" t="s">
        <v>194</v>
      </c>
      <c r="B63" s="115">
        <f>('Page 3-Assumptions'!$B$52*'Page 1-Enrollment Plan'!$C$21)</f>
        <v>0</v>
      </c>
      <c r="C63" s="116">
        <v>0</v>
      </c>
      <c r="D63" s="115"/>
      <c r="E63" s="117">
        <f t="shared" si="3"/>
        <v>0</v>
      </c>
      <c r="F63" s="119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114" t="s">
        <v>195</v>
      </c>
      <c r="B64" s="115">
        <f>E5*'Page 3-Assumptions'!$B$53</f>
        <v>0</v>
      </c>
      <c r="C64" s="116">
        <v>0</v>
      </c>
      <c r="D64" s="115"/>
      <c r="E64" s="117">
        <f t="shared" si="3"/>
        <v>0</v>
      </c>
      <c r="F64" s="11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114" t="s">
        <v>196</v>
      </c>
      <c r="B65" s="115">
        <f>E5*'Page 3-Assumptions'!$B$54</f>
        <v>0</v>
      </c>
      <c r="C65" s="116">
        <v>0</v>
      </c>
      <c r="D65" s="115"/>
      <c r="E65" s="117">
        <f t="shared" si="3"/>
        <v>0</v>
      </c>
      <c r="F65" s="11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114" t="s">
        <v>197</v>
      </c>
      <c r="B66" s="115"/>
      <c r="C66" s="95">
        <v>0</v>
      </c>
      <c r="D66" s="115">
        <f>'Support-CDE start-up grant'!B15</f>
        <v>0</v>
      </c>
      <c r="E66" s="117">
        <f t="shared" si="3"/>
        <v>0</v>
      </c>
      <c r="F66" s="11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114" t="s">
        <v>198</v>
      </c>
      <c r="B67" s="115"/>
      <c r="C67" s="116">
        <v>0</v>
      </c>
      <c r="D67" s="115" t="s">
        <v>26</v>
      </c>
      <c r="E67" s="117">
        <f t="shared" si="3"/>
        <v>0</v>
      </c>
      <c r="F67" s="11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114" t="s">
        <v>199</v>
      </c>
      <c r="B68" s="116">
        <v>0</v>
      </c>
      <c r="C68" s="116">
        <v>0</v>
      </c>
      <c r="D68" s="115"/>
      <c r="E68" s="117">
        <f t="shared" si="3"/>
        <v>0</v>
      </c>
      <c r="F68" s="11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114" t="s">
        <v>200</v>
      </c>
      <c r="B69" s="115">
        <f>3000*0</f>
        <v>0</v>
      </c>
      <c r="C69" s="116">
        <v>0</v>
      </c>
      <c r="D69" s="115">
        <f>'Support-CDE start-up grant'!B16+'Support-CDE start-up grant'!B17+'Support-CDE start-up grant'!B18</f>
        <v>0</v>
      </c>
      <c r="E69" s="117">
        <f t="shared" si="3"/>
        <v>0</v>
      </c>
      <c r="F69" s="11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114" t="s">
        <v>201</v>
      </c>
      <c r="B70" s="115">
        <f>5000*0</f>
        <v>0</v>
      </c>
      <c r="C70" s="116">
        <v>0</v>
      </c>
      <c r="D70" s="115">
        <f>'Support-CDE start-up grant'!B19+'Support-CDE start-up grant'!B20+'Support-CDE start-up grant'!B21</f>
        <v>0</v>
      </c>
      <c r="E70" s="117">
        <f t="shared" si="3"/>
        <v>0</v>
      </c>
      <c r="F70" s="11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114" t="s">
        <v>202</v>
      </c>
      <c r="B71" s="115">
        <f>'Page 3-Assumptions'!$B$55*'Page 1-Enrollment Plan'!C21</f>
        <v>0</v>
      </c>
      <c r="C71" s="116">
        <v>0</v>
      </c>
      <c r="D71" s="115"/>
      <c r="E71" s="117">
        <f t="shared" si="3"/>
        <v>0</v>
      </c>
      <c r="F71" s="11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114" t="s">
        <v>203</v>
      </c>
      <c r="B72" s="115"/>
      <c r="C72" s="116">
        <v>0</v>
      </c>
      <c r="D72" s="115"/>
      <c r="E72" s="117">
        <f t="shared" si="3"/>
        <v>0</v>
      </c>
      <c r="F72" s="11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114" t="s">
        <v>204</v>
      </c>
      <c r="B73" s="115">
        <f>(('Page 3-Assumptions'!$B$56*'Page 1-Enrollment Plan'!C21))</f>
        <v>0</v>
      </c>
      <c r="C73" s="116">
        <v>0</v>
      </c>
      <c r="D73" s="115"/>
      <c r="E73" s="117">
        <f t="shared" si="3"/>
        <v>0</v>
      </c>
      <c r="F73" s="11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114" t="s">
        <v>205</v>
      </c>
      <c r="B74" s="130">
        <v>0</v>
      </c>
      <c r="C74" s="131">
        <v>0</v>
      </c>
      <c r="D74" s="130"/>
      <c r="E74" s="117">
        <f t="shared" si="3"/>
        <v>0</v>
      </c>
      <c r="F74" s="11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132" t="s">
        <v>206</v>
      </c>
      <c r="B75" s="123">
        <f>SUM(B33:B74)</f>
        <v>629360.9</v>
      </c>
      <c r="C75" s="123">
        <f>SUM(C33:C74)</f>
        <v>0</v>
      </c>
      <c r="D75" s="123">
        <f>SUM(D33:D74)</f>
        <v>0</v>
      </c>
      <c r="E75" s="123">
        <f>SUM(E33:E74)</f>
        <v>629360.9</v>
      </c>
      <c r="F75" s="11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133"/>
      <c r="B76" s="125"/>
      <c r="C76" s="125"/>
      <c r="D76" s="125"/>
      <c r="E76" s="126"/>
      <c r="F76" s="11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132" t="s">
        <v>207</v>
      </c>
      <c r="B77" s="123">
        <f>B30-B75</f>
        <v>-628860.9</v>
      </c>
      <c r="C77" s="123">
        <f>C30-C75</f>
        <v>1500</v>
      </c>
      <c r="D77" s="123">
        <f>D30-D75</f>
        <v>0</v>
      </c>
      <c r="E77" s="123">
        <f>E30-E75</f>
        <v>-627360.9</v>
      </c>
      <c r="F77" s="11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133"/>
      <c r="B78" s="125"/>
      <c r="C78" s="125"/>
      <c r="D78" s="125"/>
      <c r="E78" s="126"/>
      <c r="F78" s="11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134" t="s">
        <v>215</v>
      </c>
      <c r="B79" s="125"/>
      <c r="C79" s="125"/>
      <c r="D79" s="135"/>
      <c r="E79" s="117">
        <f t="shared" ref="E79" si="4">SUM(B79:D79)</f>
        <v>0</v>
      </c>
      <c r="F79" s="11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120"/>
      <c r="B80" s="125"/>
      <c r="C80" s="125"/>
      <c r="D80" s="125"/>
      <c r="E80" s="126"/>
      <c r="F80" s="10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133"/>
      <c r="B81" s="136"/>
      <c r="C81" s="136"/>
      <c r="D81" s="136"/>
      <c r="E81" s="126"/>
      <c r="F81" s="11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122" t="s">
        <v>209</v>
      </c>
      <c r="B82" s="137">
        <f t="shared" ref="B82:D82" si="5">B77+B79</f>
        <v>-628860.9</v>
      </c>
      <c r="C82" s="137">
        <f t="shared" si="5"/>
        <v>1500</v>
      </c>
      <c r="D82" s="137">
        <f t="shared" si="5"/>
        <v>0</v>
      </c>
      <c r="E82" s="137">
        <f>E77+E79</f>
        <v>-627360.9</v>
      </c>
      <c r="F82" s="11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36"/>
      <c r="B83" s="22"/>
      <c r="C83" s="22"/>
      <c r="D83" s="22"/>
      <c r="E83" s="19"/>
      <c r="F83" s="11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36" t="s">
        <v>210</v>
      </c>
      <c r="B84" s="22"/>
      <c r="C84" s="22"/>
      <c r="D84" s="22"/>
      <c r="E84" s="138">
        <v>0</v>
      </c>
      <c r="F84" s="11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36"/>
      <c r="B85" s="22"/>
      <c r="C85" s="22"/>
      <c r="D85" s="22"/>
      <c r="E85" s="138"/>
      <c r="F85" s="11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36" t="s">
        <v>211</v>
      </c>
      <c r="B86" s="22"/>
      <c r="C86" s="22"/>
      <c r="D86" s="22"/>
      <c r="E86" s="138">
        <f>E84+E82</f>
        <v>-627360.9</v>
      </c>
      <c r="F86" s="11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301" t="s">
        <v>287</v>
      </c>
      <c r="B87" s="22"/>
      <c r="C87" s="22"/>
      <c r="D87" s="22"/>
      <c r="E87" s="135">
        <f>B95</f>
        <v>18880.827000000001</v>
      </c>
      <c r="F87" s="300" t="s">
        <v>302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301" t="s">
        <v>288</v>
      </c>
      <c r="B88" s="22"/>
      <c r="C88" s="22"/>
      <c r="D88" s="22"/>
      <c r="E88" s="135">
        <f>E86-E87</f>
        <v>-646241.72700000007</v>
      </c>
      <c r="F88" s="10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301" t="s">
        <v>289</v>
      </c>
      <c r="B89" s="22"/>
      <c r="C89" s="22"/>
      <c r="D89" s="22"/>
      <c r="E89" s="140">
        <f>E88/E75</f>
        <v>-1.0268221730965492</v>
      </c>
      <c r="F89" s="10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141"/>
      <c r="B90" s="25"/>
      <c r="C90" s="25"/>
      <c r="D90" s="25"/>
      <c r="E90" s="26"/>
      <c r="F90" s="14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/>
    <row r="92" spans="1:26" ht="15.75" customHeight="1" x14ac:dyDescent="0.2">
      <c r="A92" s="314" t="s">
        <v>298</v>
      </c>
      <c r="B92" s="315">
        <v>0</v>
      </c>
    </row>
    <row r="93" spans="1:26" ht="15.75" customHeight="1" x14ac:dyDescent="0.2">
      <c r="A93" s="314" t="s">
        <v>299</v>
      </c>
      <c r="B93" s="315">
        <f>B75*0.03</f>
        <v>18880.827000000001</v>
      </c>
    </row>
    <row r="94" spans="1:26" ht="15.75" customHeight="1" x14ac:dyDescent="0.2">
      <c r="A94" s="314" t="s">
        <v>300</v>
      </c>
      <c r="B94" s="315">
        <v>0</v>
      </c>
    </row>
    <row r="95" spans="1:26" ht="15.75" customHeight="1" x14ac:dyDescent="0.2">
      <c r="A95" s="314" t="s">
        <v>301</v>
      </c>
      <c r="B95" s="316">
        <f>SUM(B92:B94)</f>
        <v>18880.827000000001</v>
      </c>
    </row>
    <row r="96" spans="1:2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B3:E3"/>
  </mergeCells>
  <printOptions horizontalCentered="1"/>
  <pageMargins left="0.25" right="0.25" top="0.45" bottom="0.62013888888888902" header="0.51180555555555496" footer="0.51180555555555496"/>
  <pageSetup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5"/>
  <sheetViews>
    <sheetView zoomScale="110" zoomScaleNormal="110" zoomScalePageLayoutView="110" workbookViewId="0">
      <selection activeCell="B33" sqref="B33:C74"/>
    </sheetView>
  </sheetViews>
  <sheetFormatPr defaultColWidth="8.85546875" defaultRowHeight="12.75" x14ac:dyDescent="0.2"/>
  <cols>
    <col min="1" max="1" width="39.42578125" customWidth="1"/>
    <col min="2" max="5" width="15.7109375" customWidth="1"/>
    <col min="6" max="6" width="45.7109375" customWidth="1"/>
    <col min="7" max="13" width="11.42578125" customWidth="1"/>
    <col min="14" max="26" width="8.7109375" customWidth="1"/>
    <col min="27" max="1025" width="14.42578125" customWidth="1"/>
  </cols>
  <sheetData>
    <row r="1" spans="1:26" ht="12.75" customHeight="1" x14ac:dyDescent="0.3">
      <c r="A1" s="99">
        <f>'Page 3-Assumptions'!A1</f>
        <v>0</v>
      </c>
      <c r="B1" s="100"/>
      <c r="C1" s="100"/>
      <c r="D1" s="100"/>
      <c r="E1" s="17"/>
      <c r="F1" s="101" t="s">
        <v>141</v>
      </c>
      <c r="G1" s="14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102" t="str">
        <f>B3</f>
        <v>FY 2021 -22</v>
      </c>
      <c r="B2" s="22"/>
      <c r="C2" s="22"/>
      <c r="D2" s="22"/>
      <c r="E2" s="19"/>
      <c r="F2" s="103"/>
      <c r="G2" s="14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04"/>
      <c r="B3" s="340" t="str">
        <f>'Page 10-6 yr Budget-detail'!C4</f>
        <v>FY 2021 -22</v>
      </c>
      <c r="C3" s="340"/>
      <c r="D3" s="340"/>
      <c r="E3" s="340"/>
      <c r="F3" s="144"/>
      <c r="G3" s="145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2.75" customHeight="1" x14ac:dyDescent="0.2">
      <c r="A4" s="21"/>
      <c r="B4" s="107" t="s">
        <v>143</v>
      </c>
      <c r="C4" s="107" t="s">
        <v>144</v>
      </c>
      <c r="D4" s="107" t="s">
        <v>145</v>
      </c>
      <c r="E4" s="107" t="s">
        <v>140</v>
      </c>
      <c r="F4" s="146" t="s">
        <v>142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2.75" customHeight="1" x14ac:dyDescent="0.2">
      <c r="A5" s="109" t="s">
        <v>146</v>
      </c>
      <c r="B5" s="110"/>
      <c r="C5" s="110"/>
      <c r="D5" s="110"/>
      <c r="E5" s="147">
        <f>'Page 1-Enrollment Plan'!C21</f>
        <v>0</v>
      </c>
      <c r="F5" s="148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2.75" customHeight="1" x14ac:dyDescent="0.2">
      <c r="A6" s="109" t="s">
        <v>147</v>
      </c>
      <c r="B6" s="110"/>
      <c r="C6" s="110"/>
      <c r="D6" s="110"/>
      <c r="E6" s="149">
        <f>'Page 1-Enrollment Plan'!C23</f>
        <v>0</v>
      </c>
      <c r="F6" s="108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12.75" customHeight="1" x14ac:dyDescent="0.2">
      <c r="A7" s="21" t="s">
        <v>54</v>
      </c>
      <c r="B7" s="110"/>
      <c r="C7" s="110"/>
      <c r="D7" s="110"/>
      <c r="E7" s="113"/>
      <c r="F7" s="108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42" customHeight="1" x14ac:dyDescent="0.2">
      <c r="A8" s="114" t="s">
        <v>148</v>
      </c>
      <c r="B8" s="116">
        <v>0</v>
      </c>
      <c r="C8" s="116">
        <v>0</v>
      </c>
      <c r="D8" s="115">
        <v>0</v>
      </c>
      <c r="E8" s="117">
        <f t="shared" ref="E8:E29" si="0">SUM(B8:D8)</f>
        <v>0</v>
      </c>
      <c r="F8" s="310" t="s">
        <v>292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14" t="s">
        <v>149</v>
      </c>
      <c r="B9" s="118">
        <v>0</v>
      </c>
      <c r="C9" s="118">
        <v>0</v>
      </c>
      <c r="D9" s="118">
        <v>0</v>
      </c>
      <c r="E9" s="117">
        <f t="shared" si="0"/>
        <v>0</v>
      </c>
      <c r="F9" s="11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14" t="s">
        <v>150</v>
      </c>
      <c r="B10" s="116">
        <v>0</v>
      </c>
      <c r="C10" s="115">
        <v>0</v>
      </c>
      <c r="D10" s="115">
        <v>0</v>
      </c>
      <c r="E10" s="117">
        <f t="shared" si="0"/>
        <v>0</v>
      </c>
      <c r="F10" s="1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14" t="s">
        <v>151</v>
      </c>
      <c r="B11" s="115">
        <v>0</v>
      </c>
      <c r="C11" s="115">
        <v>0</v>
      </c>
      <c r="D11" s="115">
        <v>0</v>
      </c>
      <c r="E11" s="117">
        <f t="shared" si="0"/>
        <v>0</v>
      </c>
      <c r="F11" s="11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114" t="s">
        <v>152</v>
      </c>
      <c r="B12" s="129">
        <f>B73</f>
        <v>0</v>
      </c>
      <c r="C12" s="115">
        <v>0</v>
      </c>
      <c r="D12" s="115">
        <v>0</v>
      </c>
      <c r="E12" s="117">
        <f t="shared" si="0"/>
        <v>0</v>
      </c>
      <c r="F12" s="11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14" t="s">
        <v>153</v>
      </c>
      <c r="B13" s="129">
        <f>100*E5*0.8</f>
        <v>0</v>
      </c>
      <c r="C13" s="115">
        <v>0</v>
      </c>
      <c r="D13" s="115">
        <v>0</v>
      </c>
      <c r="E13" s="117">
        <f t="shared" si="0"/>
        <v>0</v>
      </c>
      <c r="F13" s="1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20" t="s">
        <v>154</v>
      </c>
      <c r="B14" s="116">
        <v>0</v>
      </c>
      <c r="C14" s="115">
        <v>0</v>
      </c>
      <c r="D14" s="115">
        <v>0</v>
      </c>
      <c r="E14" s="117">
        <f t="shared" si="0"/>
        <v>0</v>
      </c>
      <c r="F14" s="11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20" t="s">
        <v>155</v>
      </c>
      <c r="B15" s="118">
        <f>E6*'Page 3-Assumptions'!C8</f>
        <v>0</v>
      </c>
      <c r="C15" s="118">
        <v>0</v>
      </c>
      <c r="D15" s="118">
        <v>0</v>
      </c>
      <c r="E15" s="117">
        <f t="shared" si="0"/>
        <v>0</v>
      </c>
      <c r="F15" s="11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20" t="s">
        <v>156</v>
      </c>
      <c r="B16" s="118">
        <f>'Page 3-Assumptions'!C9</f>
        <v>0</v>
      </c>
      <c r="C16" s="118">
        <v>0</v>
      </c>
      <c r="D16" s="118">
        <v>0</v>
      </c>
      <c r="E16" s="117">
        <f t="shared" si="0"/>
        <v>0</v>
      </c>
      <c r="F16" s="1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14" t="s">
        <v>157</v>
      </c>
      <c r="B17" s="118">
        <v>0</v>
      </c>
      <c r="C17" s="118">
        <f>'Page 3-Assumptions'!$C$11</f>
        <v>0</v>
      </c>
      <c r="D17" s="118">
        <v>0</v>
      </c>
      <c r="E17" s="117">
        <f t="shared" si="0"/>
        <v>0</v>
      </c>
      <c r="F17" s="1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14" t="s">
        <v>79</v>
      </c>
      <c r="B18" s="118">
        <f>'Page 3-Assumptions'!C14</f>
        <v>500</v>
      </c>
      <c r="C18" s="118">
        <v>0</v>
      </c>
      <c r="D18" s="118">
        <v>0</v>
      </c>
      <c r="E18" s="117">
        <f t="shared" si="0"/>
        <v>500</v>
      </c>
      <c r="F18" s="1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14" t="s">
        <v>158</v>
      </c>
      <c r="B19" s="116">
        <v>0</v>
      </c>
      <c r="C19" s="115">
        <v>0</v>
      </c>
      <c r="D19" s="115">
        <v>0</v>
      </c>
      <c r="E19" s="117">
        <f t="shared" si="0"/>
        <v>0</v>
      </c>
      <c r="F19" s="1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14" t="s">
        <v>83</v>
      </c>
      <c r="B20" s="118">
        <f>'Page 3-Assumptions'!C16</f>
        <v>0</v>
      </c>
      <c r="C20" s="118">
        <v>0</v>
      </c>
      <c r="D20" s="118">
        <v>0</v>
      </c>
      <c r="E20" s="117">
        <f t="shared" si="0"/>
        <v>0</v>
      </c>
      <c r="F20" s="1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14" t="s">
        <v>281</v>
      </c>
      <c r="B21" s="118">
        <f>'Page 3-Assumptions'!C18</f>
        <v>0</v>
      </c>
      <c r="C21" s="118">
        <v>0</v>
      </c>
      <c r="D21" s="118">
        <v>0</v>
      </c>
      <c r="E21" s="117"/>
      <c r="F21" s="1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14" t="s">
        <v>88</v>
      </c>
      <c r="B22" s="118">
        <f>'Page 3-Assumptions'!C19*0</f>
        <v>0</v>
      </c>
      <c r="C22" s="118">
        <f>'Page 3-Assumptions'!$C$19</f>
        <v>0</v>
      </c>
      <c r="D22" s="118">
        <v>0</v>
      </c>
      <c r="E22" s="117">
        <f t="shared" si="0"/>
        <v>0</v>
      </c>
      <c r="F22" s="1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14" t="s">
        <v>159</v>
      </c>
      <c r="B23" s="118">
        <f>'Page 3-Assumptions'!C20*0</f>
        <v>0</v>
      </c>
      <c r="C23" s="118">
        <f>'Page 3-Assumptions'!$C$20</f>
        <v>0</v>
      </c>
      <c r="D23" s="118">
        <v>0</v>
      </c>
      <c r="E23" s="117">
        <f t="shared" si="0"/>
        <v>0</v>
      </c>
      <c r="F23" s="1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50" t="s">
        <v>92</v>
      </c>
      <c r="B24" s="118">
        <f>'Page 3-Assumptions'!C21</f>
        <v>0</v>
      </c>
      <c r="C24" s="118">
        <f>'Page 3-Assumptions'!$C$21</f>
        <v>0</v>
      </c>
      <c r="D24" s="118">
        <v>0</v>
      </c>
      <c r="E24" s="117">
        <f t="shared" si="0"/>
        <v>0</v>
      </c>
      <c r="F24" s="1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14" t="s">
        <v>273</v>
      </c>
      <c r="B25" s="118">
        <v>0</v>
      </c>
      <c r="C25" s="118">
        <f>'Page 3-Assumptions'!$C22</f>
        <v>1500</v>
      </c>
      <c r="D25" s="118">
        <v>0</v>
      </c>
      <c r="E25" s="117">
        <f t="shared" si="0"/>
        <v>1500</v>
      </c>
      <c r="F25" s="11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50" t="s">
        <v>160</v>
      </c>
      <c r="B26" s="115">
        <v>0</v>
      </c>
      <c r="C26" s="115">
        <v>0</v>
      </c>
      <c r="D26" s="115">
        <v>0</v>
      </c>
      <c r="E26" s="117">
        <f t="shared" si="0"/>
        <v>0</v>
      </c>
      <c r="F26" s="11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50" t="s">
        <v>161</v>
      </c>
      <c r="B27" s="118">
        <v>0</v>
      </c>
      <c r="C27" s="118">
        <v>0</v>
      </c>
      <c r="D27" s="118">
        <f>'Support-CDE start-up grant'!C4</f>
        <v>0</v>
      </c>
      <c r="E27" s="117">
        <f t="shared" si="0"/>
        <v>0</v>
      </c>
      <c r="F27" s="1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50" t="s">
        <v>58</v>
      </c>
      <c r="B28" s="118">
        <f>'Page 3-Assumptions'!C5*E6</f>
        <v>0</v>
      </c>
      <c r="C28" s="118">
        <v>0</v>
      </c>
      <c r="D28" s="118"/>
      <c r="E28" s="117">
        <f t="shared" si="0"/>
        <v>0</v>
      </c>
      <c r="F28" s="1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14" t="s">
        <v>162</v>
      </c>
      <c r="B29" s="121">
        <f>'Page 3-Assumptions'!C6</f>
        <v>0</v>
      </c>
      <c r="C29" s="121">
        <v>0</v>
      </c>
      <c r="D29" s="121">
        <v>0</v>
      </c>
      <c r="E29" s="117">
        <f t="shared" si="0"/>
        <v>0</v>
      </c>
      <c r="F29" s="1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2" t="s">
        <v>163</v>
      </c>
      <c r="B30" s="123">
        <f>SUM(B8:B29)</f>
        <v>500</v>
      </c>
      <c r="C30" s="123">
        <f>SUM(C8:C29)</f>
        <v>1500</v>
      </c>
      <c r="D30" s="123">
        <f>SUM(D8:D29)</f>
        <v>0</v>
      </c>
      <c r="E30" s="123">
        <f>SUM(E8:E29)</f>
        <v>2000</v>
      </c>
      <c r="F30" s="11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4"/>
      <c r="B31" s="151"/>
      <c r="C31" s="151"/>
      <c r="D31" s="151"/>
      <c r="E31" s="152"/>
      <c r="F31" s="11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7" t="s">
        <v>100</v>
      </c>
      <c r="B32" s="118">
        <v>0</v>
      </c>
      <c r="C32" s="118">
        <v>0</v>
      </c>
      <c r="D32" s="118">
        <v>0</v>
      </c>
      <c r="E32" s="117"/>
      <c r="F32" s="1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14" t="s">
        <v>164</v>
      </c>
      <c r="B33" s="118">
        <f>'Page 2-Staffing Plan'!C32-(C33+D33)</f>
        <v>504700</v>
      </c>
      <c r="C33" s="115">
        <v>0</v>
      </c>
      <c r="D33" s="115">
        <v>0</v>
      </c>
      <c r="E33" s="117">
        <f t="shared" ref="E33:E74" si="1">SUM(B33:D33)</f>
        <v>504700</v>
      </c>
      <c r="F33" s="11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14" t="s">
        <v>165</v>
      </c>
      <c r="B34" s="118">
        <f>('Page 3-Assumptions'!B39* 'Page 3-Assumptions'!B40)*('Page 2-Staffing Plan'!C15)*1</f>
        <v>0</v>
      </c>
      <c r="C34" s="115">
        <v>0</v>
      </c>
      <c r="D34" s="115">
        <v>0</v>
      </c>
      <c r="E34" s="117">
        <f t="shared" si="1"/>
        <v>0</v>
      </c>
      <c r="F34" s="11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14" t="s">
        <v>166</v>
      </c>
      <c r="B35" s="153">
        <f>((E33+E34)*1.45%)-C35</f>
        <v>7318.15</v>
      </c>
      <c r="C35" s="118">
        <f>ROUND((C33+C34)*1.45%,0)</f>
        <v>0</v>
      </c>
      <c r="D35" s="115">
        <v>0</v>
      </c>
      <c r="E35" s="117">
        <f t="shared" si="1"/>
        <v>7318.15</v>
      </c>
      <c r="F35" s="11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14" t="s">
        <v>167</v>
      </c>
      <c r="B36" s="118">
        <v>0</v>
      </c>
      <c r="C36" s="115">
        <v>0</v>
      </c>
      <c r="D36" s="115">
        <v>0</v>
      </c>
      <c r="E36" s="117">
        <f t="shared" si="1"/>
        <v>0</v>
      </c>
      <c r="F36" s="11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14" t="s">
        <v>168</v>
      </c>
      <c r="B37" s="118">
        <f>((E33+E34)*'Page 3-Assumptions'!C31)-C37</f>
        <v>105734.65</v>
      </c>
      <c r="C37" s="115">
        <v>0</v>
      </c>
      <c r="D37" s="115">
        <v>0</v>
      </c>
      <c r="E37" s="117">
        <f t="shared" si="1"/>
        <v>105734.65</v>
      </c>
      <c r="F37" s="1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14" t="s">
        <v>169</v>
      </c>
      <c r="B38" s="118">
        <f>(('Page 3-Assumptions'!B41*1.05*('Page 2-Staffing Plan'!C37)))</f>
        <v>0</v>
      </c>
      <c r="C38" s="115">
        <v>0</v>
      </c>
      <c r="D38" s="115">
        <v>0</v>
      </c>
      <c r="E38" s="117">
        <f t="shared" si="1"/>
        <v>0</v>
      </c>
      <c r="F38" s="11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14" t="s">
        <v>170</v>
      </c>
      <c r="B39" s="118">
        <f>'Page 3-Assumptions'!B42*'Page 2-Staffing Plan'!C37</f>
        <v>0</v>
      </c>
      <c r="C39" s="115">
        <v>0</v>
      </c>
      <c r="D39" s="115">
        <v>0</v>
      </c>
      <c r="E39" s="117">
        <f t="shared" si="1"/>
        <v>0</v>
      </c>
      <c r="F39" s="11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0" t="s">
        <v>171</v>
      </c>
      <c r="B40" s="118">
        <f>'Page 3-Assumptions'!$B$43*'Page 2-Staffing Plan'!C37</f>
        <v>0</v>
      </c>
      <c r="C40" s="115">
        <v>0</v>
      </c>
      <c r="D40" s="115">
        <v>0</v>
      </c>
      <c r="E40" s="117">
        <f t="shared" si="1"/>
        <v>0</v>
      </c>
      <c r="F40" s="11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14" t="s">
        <v>172</v>
      </c>
      <c r="B41" s="118">
        <v>0</v>
      </c>
      <c r="C41" s="116">
        <v>0</v>
      </c>
      <c r="D41" s="115">
        <v>0</v>
      </c>
      <c r="E41" s="117">
        <f t="shared" si="1"/>
        <v>0</v>
      </c>
      <c r="F41" s="11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20" t="s">
        <v>173</v>
      </c>
      <c r="B42" s="118">
        <f>('Page 3-Assumptions'!$B$45*'Page 2-Staffing Plan'!C37)</f>
        <v>0</v>
      </c>
      <c r="C42" s="115">
        <v>0</v>
      </c>
      <c r="D42" s="115">
        <v>0</v>
      </c>
      <c r="E42" s="117">
        <f t="shared" si="1"/>
        <v>0</v>
      </c>
      <c r="F42" s="119"/>
      <c r="G42" s="2" t="s">
        <v>26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20" t="s">
        <v>174</v>
      </c>
      <c r="B43" s="118">
        <v>0</v>
      </c>
      <c r="C43" s="115">
        <v>0</v>
      </c>
      <c r="D43" s="115">
        <v>0</v>
      </c>
      <c r="E43" s="117">
        <f t="shared" si="1"/>
        <v>0</v>
      </c>
      <c r="F43" s="11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14" t="s">
        <v>175</v>
      </c>
      <c r="B44" s="118">
        <f>E5*'Page 3-Assumptions'!$B$46</f>
        <v>0</v>
      </c>
      <c r="C44" s="115">
        <v>0</v>
      </c>
      <c r="D44" s="115">
        <v>0</v>
      </c>
      <c r="E44" s="117">
        <f t="shared" si="1"/>
        <v>0</v>
      </c>
      <c r="F44" s="119"/>
      <c r="G44" s="2"/>
      <c r="H44" s="2"/>
      <c r="I44" s="2"/>
      <c r="J44" s="2"/>
      <c r="K44" s="2"/>
      <c r="L44" s="2"/>
      <c r="M44" s="2" t="s">
        <v>212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20" t="s">
        <v>176</v>
      </c>
      <c r="B45" s="116">
        <f>5000*0</f>
        <v>0</v>
      </c>
      <c r="C45" s="115">
        <v>0</v>
      </c>
      <c r="D45" s="115">
        <f>'Support-CDE start-up grant'!C11</f>
        <v>0</v>
      </c>
      <c r="E45" s="117">
        <f t="shared" si="1"/>
        <v>0</v>
      </c>
      <c r="F45" s="11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20" t="s">
        <v>177</v>
      </c>
      <c r="B46" s="116"/>
      <c r="C46" s="115">
        <v>0</v>
      </c>
      <c r="D46" s="115">
        <f>'Support-CDE start-up grant'!C10</f>
        <v>0</v>
      </c>
      <c r="E46" s="117">
        <f t="shared" si="1"/>
        <v>0</v>
      </c>
      <c r="F46" s="119" t="s">
        <v>213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20" t="s">
        <v>178</v>
      </c>
      <c r="B47" s="118"/>
      <c r="C47" s="115">
        <f>SUM(C16:C24)</f>
        <v>0</v>
      </c>
      <c r="D47" s="115">
        <v>0</v>
      </c>
      <c r="E47" s="117">
        <f t="shared" si="1"/>
        <v>0</v>
      </c>
      <c r="F47" s="11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20" t="s">
        <v>179</v>
      </c>
      <c r="B48" s="118">
        <f>50000*0</f>
        <v>0</v>
      </c>
      <c r="C48" s="115">
        <v>0</v>
      </c>
      <c r="D48" s="115">
        <f>'Support-CDE start-up grant'!C12</f>
        <v>0</v>
      </c>
      <c r="E48" s="117">
        <f t="shared" si="1"/>
        <v>0</v>
      </c>
      <c r="F48" s="11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14" t="s">
        <v>180</v>
      </c>
      <c r="B49" s="116"/>
      <c r="C49" s="116">
        <v>0</v>
      </c>
      <c r="D49" s="115">
        <v>0</v>
      </c>
      <c r="E49" s="117">
        <f t="shared" si="1"/>
        <v>0</v>
      </c>
      <c r="F49" s="119" t="s">
        <v>214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20" t="s">
        <v>181</v>
      </c>
      <c r="B50" s="116"/>
      <c r="C50" s="115">
        <v>0</v>
      </c>
      <c r="D50" s="115">
        <v>0</v>
      </c>
      <c r="E50" s="117">
        <f t="shared" si="1"/>
        <v>0</v>
      </c>
      <c r="F50" s="11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20" t="s">
        <v>182</v>
      </c>
      <c r="B51" s="116"/>
      <c r="C51" s="115">
        <v>0</v>
      </c>
      <c r="D51" s="115">
        <v>0</v>
      </c>
      <c r="E51" s="117">
        <f t="shared" si="1"/>
        <v>0</v>
      </c>
      <c r="F51" s="11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20" t="s">
        <v>183</v>
      </c>
      <c r="B52" s="118">
        <f>(SUM('Page 1-Enrollment Plan'!C7:C17))*'Page 3-Assumptions'!$B$47</f>
        <v>0</v>
      </c>
      <c r="C52" s="115">
        <v>0</v>
      </c>
      <c r="D52" s="115">
        <v>0</v>
      </c>
      <c r="E52" s="117">
        <f t="shared" si="1"/>
        <v>0</v>
      </c>
      <c r="F52" s="11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20" t="s">
        <v>184</v>
      </c>
      <c r="B53" s="118">
        <f>('Page 3-Assumptions'!$B$48+'Page 3-Assumptions'!$B$49)*'Page 1-Enrollment Plan'!C21</f>
        <v>0</v>
      </c>
      <c r="C53" s="115">
        <v>0</v>
      </c>
      <c r="D53" s="115">
        <v>0</v>
      </c>
      <c r="E53" s="117">
        <f t="shared" si="1"/>
        <v>0</v>
      </c>
      <c r="F53" s="11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14" t="s">
        <v>185</v>
      </c>
      <c r="B54" s="118">
        <f>'Page 3-Assumptions'!C35</f>
        <v>0</v>
      </c>
      <c r="C54" s="115">
        <v>0</v>
      </c>
      <c r="D54" s="115">
        <v>0</v>
      </c>
      <c r="E54" s="117">
        <f t="shared" si="1"/>
        <v>0</v>
      </c>
      <c r="F54" s="11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20" t="s">
        <v>186</v>
      </c>
      <c r="B55" s="118">
        <f>'Page 3-Assumptions'!$C$34*(E33+E34)</f>
        <v>1514.1000000000001</v>
      </c>
      <c r="C55" s="115">
        <v>0</v>
      </c>
      <c r="D55" s="115">
        <v>0</v>
      </c>
      <c r="E55" s="117">
        <f t="shared" si="1"/>
        <v>1514.1000000000001</v>
      </c>
      <c r="F55" s="11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20" t="s">
        <v>187</v>
      </c>
      <c r="B56" s="118">
        <f>((E33+E34)/100)*2</f>
        <v>10094</v>
      </c>
      <c r="C56" s="115">
        <v>0</v>
      </c>
      <c r="D56" s="115">
        <v>0</v>
      </c>
      <c r="E56" s="117">
        <f t="shared" si="1"/>
        <v>10094</v>
      </c>
      <c r="F56" s="11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20" t="s">
        <v>188</v>
      </c>
      <c r="B57" s="116"/>
      <c r="C57" s="115">
        <v>0</v>
      </c>
      <c r="D57" s="115">
        <v>0</v>
      </c>
      <c r="E57" s="117">
        <f t="shared" si="1"/>
        <v>0</v>
      </c>
      <c r="F57" s="11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20" t="s">
        <v>189</v>
      </c>
      <c r="B58" s="118">
        <f>'Page 3-Assumptions'!$B$50*'Page 1-Enrollment Plan'!$C$21</f>
        <v>0</v>
      </c>
      <c r="C58" s="115">
        <v>0</v>
      </c>
      <c r="D58" s="115">
        <v>0</v>
      </c>
      <c r="E58" s="117">
        <f t="shared" si="1"/>
        <v>0</v>
      </c>
      <c r="F58" s="11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20" t="s">
        <v>190</v>
      </c>
      <c r="B59" s="118">
        <f>E5*'Page 3-Assumptions'!$B$51*0</f>
        <v>0</v>
      </c>
      <c r="C59" s="115">
        <v>0</v>
      </c>
      <c r="D59" s="115">
        <f>'Support-CDE start-up grant'!C13</f>
        <v>0</v>
      </c>
      <c r="E59" s="117">
        <f t="shared" si="1"/>
        <v>0</v>
      </c>
      <c r="F59" s="1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14" t="s">
        <v>191</v>
      </c>
      <c r="B60" s="118">
        <f>'Page 2-Staffing Plan'!C37*'Page 3-Assumptions'!$B$44*0</f>
        <v>0</v>
      </c>
      <c r="C60" s="115">
        <v>0</v>
      </c>
      <c r="D60" s="154">
        <f>'Support-CDE start-up grant'!C14</f>
        <v>0</v>
      </c>
      <c r="E60" s="117">
        <f t="shared" si="1"/>
        <v>0</v>
      </c>
      <c r="F60" s="119" t="s">
        <v>26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20" t="s">
        <v>192</v>
      </c>
      <c r="B61" s="118">
        <f>E28*'Page 3-Assumptions'!C29</f>
        <v>0</v>
      </c>
      <c r="C61" s="115">
        <v>0</v>
      </c>
      <c r="D61" s="115">
        <v>0</v>
      </c>
      <c r="E61" s="117">
        <f t="shared" si="1"/>
        <v>0</v>
      </c>
      <c r="F61" s="11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14" t="s">
        <v>193</v>
      </c>
      <c r="B62" s="118">
        <f>B28*'Page 3-Assumptions'!C30</f>
        <v>0</v>
      </c>
      <c r="C62" s="115">
        <v>0</v>
      </c>
      <c r="D62" s="115">
        <v>0</v>
      </c>
      <c r="E62" s="117">
        <f t="shared" si="1"/>
        <v>0</v>
      </c>
      <c r="F62" s="119"/>
      <c r="G62" s="2" t="s">
        <v>26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14" t="s">
        <v>194</v>
      </c>
      <c r="B63" s="118">
        <f>('Page 3-Assumptions'!$B$52*'Page 1-Enrollment Plan'!$C$21)</f>
        <v>0</v>
      </c>
      <c r="C63" s="115">
        <v>0</v>
      </c>
      <c r="D63" s="115">
        <v>0</v>
      </c>
      <c r="E63" s="117">
        <f t="shared" si="1"/>
        <v>0</v>
      </c>
      <c r="F63" s="119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14" t="s">
        <v>195</v>
      </c>
      <c r="B64" s="118">
        <f>E5*'Page 3-Assumptions'!$B$53</f>
        <v>0</v>
      </c>
      <c r="C64" s="115">
        <v>0</v>
      </c>
      <c r="D64" s="115">
        <v>0</v>
      </c>
      <c r="E64" s="117">
        <f t="shared" si="1"/>
        <v>0</v>
      </c>
      <c r="F64" s="11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14" t="s">
        <v>196</v>
      </c>
      <c r="B65" s="118">
        <f>E5*'Page 3-Assumptions'!$B$54</f>
        <v>0</v>
      </c>
      <c r="C65" s="115">
        <v>0</v>
      </c>
      <c r="D65" s="115">
        <v>0</v>
      </c>
      <c r="E65" s="117">
        <f t="shared" si="1"/>
        <v>0</v>
      </c>
      <c r="F65" s="11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14" t="s">
        <v>197</v>
      </c>
      <c r="B66" s="116"/>
      <c r="C66" s="115">
        <v>0</v>
      </c>
      <c r="D66" s="115">
        <f>'Support-CDE start-up grant'!C15</f>
        <v>0</v>
      </c>
      <c r="E66" s="117">
        <f t="shared" si="1"/>
        <v>0</v>
      </c>
      <c r="F66" s="11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14" t="s">
        <v>198</v>
      </c>
      <c r="B67" s="116"/>
      <c r="C67" s="115">
        <v>0</v>
      </c>
      <c r="D67" s="115">
        <v>0</v>
      </c>
      <c r="E67" s="117">
        <f t="shared" si="1"/>
        <v>0</v>
      </c>
      <c r="F67" s="11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14" t="s">
        <v>199</v>
      </c>
      <c r="B68" s="116">
        <v>0</v>
      </c>
      <c r="C68" s="115">
        <v>0</v>
      </c>
      <c r="D68" s="115">
        <v>0</v>
      </c>
      <c r="E68" s="117">
        <f t="shared" si="1"/>
        <v>0</v>
      </c>
      <c r="F68" s="11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14" t="s">
        <v>200</v>
      </c>
      <c r="B69" s="116">
        <f>3000*0</f>
        <v>0</v>
      </c>
      <c r="C69" s="115">
        <v>0</v>
      </c>
      <c r="D69" s="115">
        <f>'Support-CDE start-up grant'!C16+'Support-CDE start-up grant'!C17+'Support-CDE start-up grant'!C18</f>
        <v>0</v>
      </c>
      <c r="E69" s="117">
        <f t="shared" si="1"/>
        <v>0</v>
      </c>
      <c r="F69" s="11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14" t="s">
        <v>201</v>
      </c>
      <c r="B70" s="116">
        <f>5000*0</f>
        <v>0</v>
      </c>
      <c r="C70" s="115">
        <v>0</v>
      </c>
      <c r="D70" s="115">
        <f>'Support-CDE start-up grant'!C19+'Support-CDE start-up grant'!C20+'Support-CDE start-up grant'!C21</f>
        <v>0</v>
      </c>
      <c r="E70" s="117">
        <f t="shared" si="1"/>
        <v>0</v>
      </c>
      <c r="F70" s="11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14" t="s">
        <v>202</v>
      </c>
      <c r="B71" s="118">
        <f>'Page 3-Assumptions'!$B$55*'Page 1-Enrollment Plan'!C21</f>
        <v>0</v>
      </c>
      <c r="C71" s="115">
        <v>0</v>
      </c>
      <c r="D71" s="115">
        <v>0</v>
      </c>
      <c r="E71" s="117">
        <f t="shared" si="1"/>
        <v>0</v>
      </c>
      <c r="F71" s="11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14" t="s">
        <v>203</v>
      </c>
      <c r="B72" s="115"/>
      <c r="C72" s="115">
        <v>0</v>
      </c>
      <c r="D72" s="115">
        <v>0</v>
      </c>
      <c r="E72" s="117">
        <f t="shared" si="1"/>
        <v>0</v>
      </c>
      <c r="F72" s="11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50" t="s">
        <v>204</v>
      </c>
      <c r="B73" s="118">
        <f>(('Page 3-Assumptions'!$B$56*'Page 1-Enrollment Plan'!C21))</f>
        <v>0</v>
      </c>
      <c r="C73" s="115">
        <v>0</v>
      </c>
      <c r="D73" s="115">
        <v>0</v>
      </c>
      <c r="E73" s="117">
        <f t="shared" si="1"/>
        <v>0</v>
      </c>
      <c r="F73" s="11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14" t="s">
        <v>205</v>
      </c>
      <c r="B74" s="131">
        <v>0</v>
      </c>
      <c r="C74" s="130">
        <v>0</v>
      </c>
      <c r="D74" s="130"/>
      <c r="E74" s="117">
        <f t="shared" si="1"/>
        <v>0</v>
      </c>
      <c r="F74" s="11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22" t="s">
        <v>206</v>
      </c>
      <c r="B75" s="123">
        <f>SUM(B33:B74)</f>
        <v>629360.9</v>
      </c>
      <c r="C75" s="123">
        <f>SUM(C33:C74)</f>
        <v>0</v>
      </c>
      <c r="D75" s="123">
        <f>SUM(D33:D74)</f>
        <v>0</v>
      </c>
      <c r="E75" s="123">
        <f>SUM(E33:E74)</f>
        <v>629360.9</v>
      </c>
      <c r="F75" s="10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55"/>
      <c r="B76" s="125"/>
      <c r="C76" s="125"/>
      <c r="D76" s="125"/>
      <c r="E76" s="126"/>
      <c r="F76" s="10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32" t="s">
        <v>207</v>
      </c>
      <c r="B77" s="123">
        <f>B30-B75</f>
        <v>-628860.9</v>
      </c>
      <c r="C77" s="123">
        <f>C30-C75</f>
        <v>1500</v>
      </c>
      <c r="D77" s="123">
        <f>D30-D75</f>
        <v>0</v>
      </c>
      <c r="E77" s="123">
        <f>SUM(B77:D77)</f>
        <v>-627360.9</v>
      </c>
      <c r="F77" s="10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33"/>
      <c r="B78" s="125"/>
      <c r="C78" s="125"/>
      <c r="D78" s="135"/>
      <c r="E78" s="126"/>
      <c r="F78" s="10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34" t="s">
        <v>215</v>
      </c>
      <c r="B79" s="125"/>
      <c r="C79" s="125"/>
      <c r="D79" s="125"/>
      <c r="E79" s="117">
        <f t="shared" ref="E79" si="2">SUM(B79:D79)</f>
        <v>0</v>
      </c>
      <c r="F79" s="10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hidden="1" customHeight="1" x14ac:dyDescent="0.2">
      <c r="A80" s="120"/>
      <c r="B80" s="125"/>
      <c r="C80" s="125"/>
      <c r="D80" s="125"/>
      <c r="E80" s="126"/>
      <c r="F80" s="10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33"/>
      <c r="B81" s="125"/>
      <c r="C81" s="125"/>
      <c r="D81" s="125"/>
      <c r="E81" s="126"/>
      <c r="F81" s="10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22" t="s">
        <v>209</v>
      </c>
      <c r="B82" s="156">
        <f>SUM(B77:B81)</f>
        <v>-628860.9</v>
      </c>
      <c r="C82" s="156">
        <f>SUM(C77:C81)</f>
        <v>1500</v>
      </c>
      <c r="D82" s="156">
        <f>SUM(D77:D81)</f>
        <v>0</v>
      </c>
      <c r="E82" s="156">
        <f>E77+E79</f>
        <v>-627360.9</v>
      </c>
      <c r="F82" s="10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57"/>
      <c r="B83" s="158"/>
      <c r="C83" s="158"/>
      <c r="D83" s="158"/>
      <c r="E83" s="159"/>
      <c r="F83" s="10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36" t="s">
        <v>210</v>
      </c>
      <c r="B84" s="22"/>
      <c r="C84" s="22"/>
      <c r="D84" s="22"/>
      <c r="E84" s="138">
        <f>'Page 4-Current Year'!E86</f>
        <v>-627360.9</v>
      </c>
      <c r="F84" s="10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36" t="s">
        <v>211</v>
      </c>
      <c r="B85" s="22"/>
      <c r="C85" s="22"/>
      <c r="D85" s="22"/>
      <c r="E85" s="138">
        <f>E84+E82</f>
        <v>-1254721.8</v>
      </c>
      <c r="F85" s="10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9" customHeight="1" x14ac:dyDescent="0.2">
      <c r="A86" s="301" t="s">
        <v>287</v>
      </c>
      <c r="B86" s="22"/>
      <c r="C86" s="22"/>
      <c r="D86" s="22"/>
      <c r="E86" s="135">
        <f>B95</f>
        <v>18880.827000000001</v>
      </c>
      <c r="F86" s="310" t="s">
        <v>293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301" t="s">
        <v>288</v>
      </c>
      <c r="B87" s="22"/>
      <c r="C87" s="22"/>
      <c r="D87" s="22"/>
      <c r="E87" s="135">
        <f>E85-E86</f>
        <v>-1273602.6270000001</v>
      </c>
      <c r="F87" s="10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301" t="s">
        <v>289</v>
      </c>
      <c r="B88" s="22"/>
      <c r="C88" s="22"/>
      <c r="D88" s="22"/>
      <c r="E88" s="140">
        <f>E87/E75</f>
        <v>-2.0236443461930986</v>
      </c>
      <c r="F88" s="10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41"/>
      <c r="B89" s="25"/>
      <c r="C89" s="25"/>
      <c r="D89" s="25"/>
      <c r="E89" s="26"/>
      <c r="F89" s="14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2" spans="1:26" x14ac:dyDescent="0.2">
      <c r="A92" s="314" t="s">
        <v>298</v>
      </c>
      <c r="B92" s="315">
        <f>100*'Page 1-Enrollment Plan'!C21</f>
        <v>0</v>
      </c>
    </row>
    <row r="93" spans="1:26" x14ac:dyDescent="0.2">
      <c r="A93" s="314" t="s">
        <v>299</v>
      </c>
      <c r="B93" s="315">
        <f>B75*0.03</f>
        <v>18880.827000000001</v>
      </c>
    </row>
    <row r="94" spans="1:26" x14ac:dyDescent="0.2">
      <c r="A94" s="314" t="s">
        <v>300</v>
      </c>
      <c r="B94" s="315">
        <v>0</v>
      </c>
    </row>
    <row r="95" spans="1:26" x14ac:dyDescent="0.2">
      <c r="A95" s="314" t="s">
        <v>301</v>
      </c>
      <c r="B95" s="316">
        <f>SUM(B92:B94)</f>
        <v>18880.827000000001</v>
      </c>
    </row>
  </sheetData>
  <mergeCells count="1">
    <mergeCell ref="B3:E3"/>
  </mergeCells>
  <printOptions horizontalCentered="1"/>
  <pageMargins left="0.22986111111111099" right="0.25" top="0.4" bottom="0.7" header="0.51180555555555496" footer="0.51180555555555496"/>
  <pageSetup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5"/>
  <sheetViews>
    <sheetView topLeftCell="A64" zoomScale="110" zoomScaleNormal="110" zoomScalePageLayoutView="110" workbookViewId="0">
      <selection activeCell="H86" sqref="H86"/>
    </sheetView>
  </sheetViews>
  <sheetFormatPr defaultColWidth="8.85546875" defaultRowHeight="12.75" x14ac:dyDescent="0.2"/>
  <cols>
    <col min="1" max="1" width="39.28515625" customWidth="1"/>
    <col min="2" max="5" width="15.85546875" customWidth="1"/>
    <col min="6" max="6" width="45.7109375" customWidth="1"/>
    <col min="7" max="26" width="8.7109375" customWidth="1"/>
    <col min="27" max="1025" width="14.42578125" customWidth="1"/>
  </cols>
  <sheetData>
    <row r="1" spans="1:26" ht="12.75" customHeight="1" x14ac:dyDescent="0.3">
      <c r="A1" s="99">
        <f>'Page 3-Assumptions'!A1</f>
        <v>0</v>
      </c>
      <c r="B1" s="100"/>
      <c r="C1" s="100"/>
      <c r="D1" s="100"/>
      <c r="E1" s="17"/>
      <c r="F1" s="101" t="s">
        <v>141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102" t="str">
        <f>B3</f>
        <v>FY 2022-23</v>
      </c>
      <c r="B2" s="22"/>
      <c r="C2" s="22"/>
      <c r="D2" s="22"/>
      <c r="E2" s="19"/>
      <c r="F2" s="10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04"/>
      <c r="B3" s="340" t="str">
        <f>'Page 10-6 yr Budget-detail'!D4</f>
        <v>FY 2022-23</v>
      </c>
      <c r="C3" s="340"/>
      <c r="D3" s="340"/>
      <c r="E3" s="340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2.75" customHeight="1" x14ac:dyDescent="0.2">
      <c r="A4" s="21"/>
      <c r="B4" s="107" t="s">
        <v>143</v>
      </c>
      <c r="C4" s="107" t="s">
        <v>144</v>
      </c>
      <c r="D4" s="107" t="s">
        <v>145</v>
      </c>
      <c r="E4" s="107" t="s">
        <v>140</v>
      </c>
      <c r="F4" s="146" t="s">
        <v>142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2.75" customHeight="1" x14ac:dyDescent="0.2">
      <c r="A5" s="109" t="s">
        <v>146</v>
      </c>
      <c r="B5" s="110"/>
      <c r="C5" s="110"/>
      <c r="D5" s="110"/>
      <c r="E5" s="147">
        <f>'Page 1-Enrollment Plan'!D21</f>
        <v>0</v>
      </c>
      <c r="F5" s="148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2.75" customHeight="1" x14ac:dyDescent="0.2">
      <c r="A6" s="109" t="s">
        <v>147</v>
      </c>
      <c r="B6" s="110"/>
      <c r="C6" s="110"/>
      <c r="D6" s="110"/>
      <c r="E6" s="149">
        <f>'Page 1-Enrollment Plan'!D23</f>
        <v>0</v>
      </c>
      <c r="F6" s="108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12.75" customHeight="1" x14ac:dyDescent="0.2">
      <c r="A7" s="21" t="s">
        <v>54</v>
      </c>
      <c r="B7" s="110"/>
      <c r="C7" s="110"/>
      <c r="D7" s="110"/>
      <c r="E7" s="113"/>
      <c r="F7" s="108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36" customHeight="1" x14ac:dyDescent="0.2">
      <c r="A8" s="114" t="s">
        <v>148</v>
      </c>
      <c r="B8" s="115"/>
      <c r="C8" s="115"/>
      <c r="D8" s="115"/>
      <c r="E8" s="117">
        <f t="shared" ref="E8:E29" si="0">SUM(B8:D8)</f>
        <v>0</v>
      </c>
      <c r="F8" s="310" t="s">
        <v>292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14" t="s">
        <v>149</v>
      </c>
      <c r="B9" s="115"/>
      <c r="C9" s="118">
        <v>0</v>
      </c>
      <c r="D9" s="118">
        <v>0</v>
      </c>
      <c r="E9" s="117">
        <f t="shared" si="0"/>
        <v>0</v>
      </c>
      <c r="F9" s="11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14" t="s">
        <v>150</v>
      </c>
      <c r="B10" s="115"/>
      <c r="C10" s="128"/>
      <c r="D10" s="128"/>
      <c r="E10" s="117">
        <f t="shared" si="0"/>
        <v>0</v>
      </c>
      <c r="F10" s="1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14" t="s">
        <v>151</v>
      </c>
      <c r="B11" s="115"/>
      <c r="C11" s="115"/>
      <c r="D11" s="115"/>
      <c r="E11" s="117">
        <f t="shared" si="0"/>
        <v>0</v>
      </c>
      <c r="F11" s="11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114" t="s">
        <v>152</v>
      </c>
      <c r="B12" s="115">
        <f>B73</f>
        <v>0</v>
      </c>
      <c r="C12" s="128"/>
      <c r="D12" s="128"/>
      <c r="E12" s="117">
        <f t="shared" si="0"/>
        <v>0</v>
      </c>
      <c r="F12" s="11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14" t="s">
        <v>153</v>
      </c>
      <c r="B13" s="115">
        <f>100*E5*0.8</f>
        <v>0</v>
      </c>
      <c r="C13" s="128"/>
      <c r="D13" s="128"/>
      <c r="E13" s="117">
        <f t="shared" si="0"/>
        <v>0</v>
      </c>
      <c r="F13" s="1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20" t="s">
        <v>154</v>
      </c>
      <c r="B14" s="115"/>
      <c r="C14" s="128"/>
      <c r="D14" s="128"/>
      <c r="E14" s="117">
        <f t="shared" si="0"/>
        <v>0</v>
      </c>
      <c r="F14" s="11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20" t="s">
        <v>155</v>
      </c>
      <c r="B15" s="115">
        <f>E6*'Page 3-Assumptions'!D8</f>
        <v>0</v>
      </c>
      <c r="C15" s="128">
        <v>0</v>
      </c>
      <c r="D15" s="128">
        <v>0</v>
      </c>
      <c r="E15" s="117">
        <f t="shared" si="0"/>
        <v>0</v>
      </c>
      <c r="F15" s="11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20" t="s">
        <v>156</v>
      </c>
      <c r="B16" s="115">
        <f>'Page 3-Assumptions'!D9</f>
        <v>0</v>
      </c>
      <c r="C16" s="128">
        <v>0</v>
      </c>
      <c r="D16" s="128">
        <v>0</v>
      </c>
      <c r="E16" s="117">
        <f t="shared" si="0"/>
        <v>0</v>
      </c>
      <c r="F16" s="1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14" t="s">
        <v>73</v>
      </c>
      <c r="B17" s="115"/>
      <c r="C17" s="118">
        <f>'Page 3-Assumptions'!$D$11</f>
        <v>0</v>
      </c>
      <c r="D17" s="128">
        <v>0</v>
      </c>
      <c r="E17" s="117">
        <f t="shared" si="0"/>
        <v>0</v>
      </c>
      <c r="F17" s="1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14" t="s">
        <v>79</v>
      </c>
      <c r="B18" s="118">
        <f>'Page 3-Assumptions'!D14</f>
        <v>500</v>
      </c>
      <c r="C18" s="118">
        <v>0</v>
      </c>
      <c r="D18" s="118">
        <v>0</v>
      </c>
      <c r="E18" s="117">
        <f t="shared" si="0"/>
        <v>500</v>
      </c>
      <c r="F18" s="1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14" t="s">
        <v>158</v>
      </c>
      <c r="B19" s="116"/>
      <c r="C19" s="115"/>
      <c r="D19" s="115"/>
      <c r="E19" s="117">
        <f t="shared" si="0"/>
        <v>0</v>
      </c>
      <c r="F19" s="1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14" t="s">
        <v>83</v>
      </c>
      <c r="B20" s="116">
        <f>'Page 3-Assumptions'!D16</f>
        <v>0</v>
      </c>
      <c r="C20" s="118">
        <v>0</v>
      </c>
      <c r="D20" s="118">
        <v>0</v>
      </c>
      <c r="E20" s="117">
        <f t="shared" si="0"/>
        <v>0</v>
      </c>
      <c r="F20" s="1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14" t="s">
        <v>281</v>
      </c>
      <c r="B21" s="116">
        <f>'Page 3-Assumptions'!D18</f>
        <v>0</v>
      </c>
      <c r="C21" s="118">
        <v>0</v>
      </c>
      <c r="D21" s="118">
        <v>0</v>
      </c>
      <c r="E21" s="117"/>
      <c r="F21" s="1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14" t="s">
        <v>88</v>
      </c>
      <c r="B22" s="116"/>
      <c r="C22" s="118">
        <f>'Page 3-Assumptions'!$D$19</f>
        <v>0</v>
      </c>
      <c r="D22" s="128">
        <v>0</v>
      </c>
      <c r="E22" s="117">
        <f t="shared" si="0"/>
        <v>0</v>
      </c>
      <c r="F22" s="1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14" t="s">
        <v>159</v>
      </c>
      <c r="B23" s="116"/>
      <c r="C23" s="118">
        <f>'Page 3-Assumptions'!$D$20</f>
        <v>0</v>
      </c>
      <c r="D23" s="128">
        <v>0</v>
      </c>
      <c r="E23" s="117">
        <f t="shared" si="0"/>
        <v>0</v>
      </c>
      <c r="F23" s="1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14" t="s">
        <v>92</v>
      </c>
      <c r="B24" s="116"/>
      <c r="C24" s="118">
        <f>'Page 3-Assumptions'!$D21</f>
        <v>0</v>
      </c>
      <c r="D24" s="128">
        <v>0</v>
      </c>
      <c r="E24" s="117">
        <f t="shared" si="0"/>
        <v>0</v>
      </c>
      <c r="F24" s="1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14" t="s">
        <v>273</v>
      </c>
      <c r="B25" s="116">
        <v>0</v>
      </c>
      <c r="C25" s="118">
        <f>'Page 3-Assumptions'!$D22</f>
        <v>1500</v>
      </c>
      <c r="D25" s="128">
        <v>0</v>
      </c>
      <c r="E25" s="117">
        <f t="shared" si="0"/>
        <v>1500</v>
      </c>
      <c r="F25" s="11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14" t="s">
        <v>160</v>
      </c>
      <c r="B26" s="116"/>
      <c r="C26" s="115"/>
      <c r="D26" s="115"/>
      <c r="E26" s="117">
        <f t="shared" si="0"/>
        <v>0</v>
      </c>
      <c r="F26" s="11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14" t="s">
        <v>161</v>
      </c>
      <c r="B27" s="116"/>
      <c r="C27" s="128">
        <v>0</v>
      </c>
      <c r="D27" s="115">
        <f>'Support-CDE start-up grant'!D4</f>
        <v>0</v>
      </c>
      <c r="E27" s="117">
        <f t="shared" si="0"/>
        <v>0</v>
      </c>
      <c r="F27" s="1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14" t="s">
        <v>58</v>
      </c>
      <c r="B28" s="121">
        <f>E6*'Page 3-Assumptions'!D5</f>
        <v>0</v>
      </c>
      <c r="C28" s="160">
        <v>0</v>
      </c>
      <c r="D28" s="160">
        <v>0</v>
      </c>
      <c r="E28" s="117">
        <f t="shared" si="0"/>
        <v>0</v>
      </c>
      <c r="F28" s="1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14" t="s">
        <v>162</v>
      </c>
      <c r="B29" s="121">
        <f>'Page 3-Assumptions'!D6</f>
        <v>0</v>
      </c>
      <c r="C29" s="121">
        <v>0</v>
      </c>
      <c r="D29" s="121">
        <v>0</v>
      </c>
      <c r="E29" s="117">
        <f t="shared" si="0"/>
        <v>0</v>
      </c>
      <c r="F29" s="1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61" t="s">
        <v>163</v>
      </c>
      <c r="B30" s="123">
        <f>SUM(B8:B29)</f>
        <v>500</v>
      </c>
      <c r="C30" s="123">
        <f>SUM(C8:C29)</f>
        <v>1500</v>
      </c>
      <c r="D30" s="123">
        <f>SUM(D8:D29)</f>
        <v>0</v>
      </c>
      <c r="E30" s="123">
        <f>SUM(E8:E29)</f>
        <v>2000</v>
      </c>
      <c r="F30" s="11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62"/>
      <c r="B31" s="125"/>
      <c r="C31" s="125"/>
      <c r="D31" s="125"/>
      <c r="E31" s="126"/>
      <c r="F31" s="11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63" t="s">
        <v>100</v>
      </c>
      <c r="B32" s="125"/>
      <c r="C32" s="125"/>
      <c r="D32" s="125"/>
      <c r="E32" s="126"/>
      <c r="F32" s="1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14" t="s">
        <v>164</v>
      </c>
      <c r="B33" s="118">
        <f>'Page 2-Staffing Plan'!D32</f>
        <v>731400</v>
      </c>
      <c r="C33" s="115">
        <v>0</v>
      </c>
      <c r="D33" s="115">
        <v>0</v>
      </c>
      <c r="E33" s="117">
        <f t="shared" ref="E33:E74" si="1">SUM(B33:D33)</f>
        <v>731400</v>
      </c>
      <c r="F33" s="11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14" t="s">
        <v>165</v>
      </c>
      <c r="B34" s="118">
        <f>('Page 3-Assumptions'!B39*'Page 3-Assumptions'!B40)*('Page 2-Staffing Plan'!D15)</f>
        <v>0</v>
      </c>
      <c r="C34" s="115"/>
      <c r="D34" s="115"/>
      <c r="E34" s="117">
        <f t="shared" si="1"/>
        <v>0</v>
      </c>
      <c r="F34" s="11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14" t="s">
        <v>166</v>
      </c>
      <c r="B35" s="118">
        <f>(B33+B34)*1.45%</f>
        <v>10605.3</v>
      </c>
      <c r="C35" s="115"/>
      <c r="D35" s="115"/>
      <c r="E35" s="117">
        <f t="shared" si="1"/>
        <v>10605.3</v>
      </c>
      <c r="F35" s="11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14" t="s">
        <v>167</v>
      </c>
      <c r="B36" s="118">
        <f>'Page 5-Year 1'!B36</f>
        <v>0</v>
      </c>
      <c r="C36" s="115"/>
      <c r="D36" s="115"/>
      <c r="E36" s="117">
        <f t="shared" si="1"/>
        <v>0</v>
      </c>
      <c r="F36" s="11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14" t="s">
        <v>168</v>
      </c>
      <c r="B37" s="118">
        <f>((E33+E34)*'Page 3-Assumptions'!D31)-C37</f>
        <v>153228.29999999999</v>
      </c>
      <c r="C37" s="153"/>
      <c r="D37" s="115"/>
      <c r="E37" s="117">
        <f t="shared" si="1"/>
        <v>153228.29999999999</v>
      </c>
      <c r="F37" s="1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14" t="s">
        <v>169</v>
      </c>
      <c r="B38" s="118">
        <f>('Page 3-Assumptions'!B41*1.05^2)*'Page 2-Staffing Plan'!D37</f>
        <v>0</v>
      </c>
      <c r="C38" s="115"/>
      <c r="D38" s="115"/>
      <c r="E38" s="117">
        <f t="shared" si="1"/>
        <v>0</v>
      </c>
      <c r="F38" s="11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14" t="s">
        <v>170</v>
      </c>
      <c r="B39" s="118">
        <f>('Page 3-Assumptions'!B42*1.02^1)*'Page 2-Staffing Plan'!D37</f>
        <v>0</v>
      </c>
      <c r="C39" s="115"/>
      <c r="D39" s="115"/>
      <c r="E39" s="117">
        <f t="shared" si="1"/>
        <v>0</v>
      </c>
      <c r="F39" s="11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14" t="s">
        <v>171</v>
      </c>
      <c r="B40" s="118">
        <f>'Page 5-Year 1'!B40</f>
        <v>0</v>
      </c>
      <c r="C40" s="115"/>
      <c r="D40" s="115"/>
      <c r="E40" s="117">
        <f t="shared" si="1"/>
        <v>0</v>
      </c>
      <c r="F40" s="11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14" t="s">
        <v>172</v>
      </c>
      <c r="B41" s="118">
        <f>'Page 5-Year 1'!B41</f>
        <v>0</v>
      </c>
      <c r="C41" s="116"/>
      <c r="D41" s="115"/>
      <c r="E41" s="117">
        <f t="shared" si="1"/>
        <v>0</v>
      </c>
      <c r="F41" s="11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14" t="s">
        <v>173</v>
      </c>
      <c r="B42" s="118">
        <f>('Page 3-Assumptions'!$B$45*'Page 2-Staffing Plan'!$D$37)</f>
        <v>0</v>
      </c>
      <c r="C42" s="115"/>
      <c r="D42" s="115"/>
      <c r="E42" s="117">
        <f t="shared" si="1"/>
        <v>0</v>
      </c>
      <c r="F42" s="11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14" t="s">
        <v>174</v>
      </c>
      <c r="B43" s="118">
        <f>'Page 5-Year 1'!B43</f>
        <v>0</v>
      </c>
      <c r="C43" s="115"/>
      <c r="D43" s="115"/>
      <c r="E43" s="117">
        <f t="shared" si="1"/>
        <v>0</v>
      </c>
      <c r="F43" s="11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14" t="s">
        <v>175</v>
      </c>
      <c r="B44" s="118">
        <f>E5*'Page 3-Assumptions'!$B$46</f>
        <v>0</v>
      </c>
      <c r="C44" s="115"/>
      <c r="D44" s="115"/>
      <c r="E44" s="117">
        <f t="shared" si="1"/>
        <v>0</v>
      </c>
      <c r="F44" s="11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14" t="s">
        <v>176</v>
      </c>
      <c r="B45" s="115">
        <f>'Page 5-Year 1'!B45*1.05</f>
        <v>0</v>
      </c>
      <c r="C45" s="115"/>
      <c r="D45" s="115">
        <f>'Support-CDE start-up grant'!D11</f>
        <v>0</v>
      </c>
      <c r="E45" s="117">
        <f t="shared" si="1"/>
        <v>0</v>
      </c>
      <c r="F45" s="11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14" t="s">
        <v>177</v>
      </c>
      <c r="B46" s="115">
        <v>0</v>
      </c>
      <c r="C46" s="115"/>
      <c r="D46" s="115">
        <f>'Support-CDE start-up grant'!D10</f>
        <v>0</v>
      </c>
      <c r="E46" s="117">
        <f t="shared" si="1"/>
        <v>0</v>
      </c>
      <c r="F46" s="11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14" t="s">
        <v>178</v>
      </c>
      <c r="B47" s="115">
        <v>0</v>
      </c>
      <c r="C47" s="115">
        <f>SUM(C16:C24)</f>
        <v>0</v>
      </c>
      <c r="D47" s="115" t="s">
        <v>26</v>
      </c>
      <c r="E47" s="117">
        <f t="shared" si="1"/>
        <v>0</v>
      </c>
      <c r="F47" s="11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14" t="s">
        <v>179</v>
      </c>
      <c r="B48" s="115">
        <f>'Page 5-Year 1'!B48*1.05</f>
        <v>0</v>
      </c>
      <c r="C48" s="115"/>
      <c r="D48" s="115">
        <f>'Support-CDE start-up grant'!D12</f>
        <v>0</v>
      </c>
      <c r="E48" s="117">
        <f t="shared" si="1"/>
        <v>0</v>
      </c>
      <c r="F48" s="11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14" t="s">
        <v>180</v>
      </c>
      <c r="B49" s="115">
        <f>'Page 5-Year 1'!B49*1.05</f>
        <v>0</v>
      </c>
      <c r="C49" s="116"/>
      <c r="D49" s="115"/>
      <c r="E49" s="117">
        <f t="shared" si="1"/>
        <v>0</v>
      </c>
      <c r="F49" s="11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14" t="s">
        <v>181</v>
      </c>
      <c r="B50" s="115">
        <f>'Page 5-Year 1'!B50*1.05</f>
        <v>0</v>
      </c>
      <c r="C50" s="115"/>
      <c r="D50" s="115"/>
      <c r="E50" s="117">
        <f t="shared" si="1"/>
        <v>0</v>
      </c>
      <c r="F50" s="11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14" t="s">
        <v>182</v>
      </c>
      <c r="B51" s="115">
        <f>'Page 5-Year 1'!B51*1.05</f>
        <v>0</v>
      </c>
      <c r="C51" s="115"/>
      <c r="D51" s="115"/>
      <c r="E51" s="117">
        <f t="shared" si="1"/>
        <v>0</v>
      </c>
      <c r="F51" s="11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14" t="s">
        <v>183</v>
      </c>
      <c r="B52" s="118">
        <f>(SUM('Page 1-Enrollment Plan'!D7:D17))*'Page 3-Assumptions'!$B$47</f>
        <v>0</v>
      </c>
      <c r="C52" s="115"/>
      <c r="D52" s="115"/>
      <c r="E52" s="117">
        <f t="shared" si="1"/>
        <v>0</v>
      </c>
      <c r="F52" s="11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14" t="s">
        <v>184</v>
      </c>
      <c r="B53" s="118">
        <f>('Page 3-Assumptions'!$B$48+'Page 3-Assumptions'!$B$49)*'Page 1-Enrollment Plan'!D21</f>
        <v>0</v>
      </c>
      <c r="C53" s="115"/>
      <c r="D53" s="115"/>
      <c r="E53" s="117">
        <f t="shared" si="1"/>
        <v>0</v>
      </c>
      <c r="F53" s="11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14" t="s">
        <v>185</v>
      </c>
      <c r="B54" s="118">
        <f>'Page 3-Assumptions'!D35</f>
        <v>0</v>
      </c>
      <c r="C54" s="115"/>
      <c r="D54" s="115"/>
      <c r="E54" s="117">
        <f t="shared" si="1"/>
        <v>0</v>
      </c>
      <c r="F54" s="11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14" t="s">
        <v>186</v>
      </c>
      <c r="B55" s="118">
        <f>'Page 3-Assumptions'!$D$34*(E33+E34)</f>
        <v>2194.2000000000003</v>
      </c>
      <c r="C55" s="115"/>
      <c r="D55" s="115"/>
      <c r="E55" s="117">
        <f t="shared" si="1"/>
        <v>2194.2000000000003</v>
      </c>
      <c r="F55" s="11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14" t="s">
        <v>187</v>
      </c>
      <c r="B56" s="118">
        <f>((E33+E34)/100)*2</f>
        <v>14628</v>
      </c>
      <c r="C56" s="115"/>
      <c r="D56" s="115"/>
      <c r="E56" s="117">
        <f t="shared" si="1"/>
        <v>14628</v>
      </c>
      <c r="F56" s="11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14" t="s">
        <v>188</v>
      </c>
      <c r="B57" s="115">
        <f>'Page 5-Year 1'!B57*1.05</f>
        <v>0</v>
      </c>
      <c r="C57" s="115"/>
      <c r="D57" s="115"/>
      <c r="E57" s="117">
        <f t="shared" si="1"/>
        <v>0</v>
      </c>
      <c r="F57" s="11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14" t="s">
        <v>189</v>
      </c>
      <c r="B58" s="118">
        <f>'Page 3-Assumptions'!$B$50*'Page 1-Enrollment Plan'!$D$21</f>
        <v>0</v>
      </c>
      <c r="C58" s="115"/>
      <c r="D58" s="115"/>
      <c r="E58" s="117">
        <f t="shared" si="1"/>
        <v>0</v>
      </c>
      <c r="F58" s="11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14" t="s">
        <v>190</v>
      </c>
      <c r="B59" s="118">
        <f>E5*'Page 3-Assumptions'!$B$51</f>
        <v>0</v>
      </c>
      <c r="C59" s="115"/>
      <c r="D59" s="115">
        <f>'Support-CDE start-up grant'!D13</f>
        <v>0</v>
      </c>
      <c r="E59" s="117">
        <f t="shared" si="1"/>
        <v>0</v>
      </c>
      <c r="F59" s="1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14" t="s">
        <v>191</v>
      </c>
      <c r="B60" s="118">
        <f>'Page 2-Staffing Plan'!D37*'Page 3-Assumptions'!$B$44*0</f>
        <v>0</v>
      </c>
      <c r="C60" s="115"/>
      <c r="D60" s="164">
        <f>'Support-CDE start-up grant'!D14</f>
        <v>0</v>
      </c>
      <c r="E60" s="117">
        <f t="shared" si="1"/>
        <v>0</v>
      </c>
      <c r="F60" s="119" t="s">
        <v>26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14" t="s">
        <v>192</v>
      </c>
      <c r="B61" s="118">
        <f>E28*'Page 3-Assumptions'!D29</f>
        <v>0</v>
      </c>
      <c r="C61" s="115"/>
      <c r="D61" s="115"/>
      <c r="E61" s="117">
        <f t="shared" si="1"/>
        <v>0</v>
      </c>
      <c r="F61" s="11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14" t="s">
        <v>193</v>
      </c>
      <c r="B62" s="118">
        <f>B28*'Page 3-Assumptions'!D30</f>
        <v>0</v>
      </c>
      <c r="C62" s="115"/>
      <c r="D62" s="115"/>
      <c r="E62" s="117">
        <f t="shared" si="1"/>
        <v>0</v>
      </c>
      <c r="F62" s="11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14" t="s">
        <v>194</v>
      </c>
      <c r="B63" s="118">
        <f>'Page 3-Assumptions'!$B$52*'Page 1-Enrollment Plan'!$D$21</f>
        <v>0</v>
      </c>
      <c r="C63" s="115"/>
      <c r="D63" s="115"/>
      <c r="E63" s="117">
        <f t="shared" si="1"/>
        <v>0</v>
      </c>
      <c r="F63" s="119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14" t="s">
        <v>195</v>
      </c>
      <c r="B64" s="118">
        <f>E5*'Page 3-Assumptions'!$B$53</f>
        <v>0</v>
      </c>
      <c r="C64" s="115"/>
      <c r="D64" s="115"/>
      <c r="E64" s="117">
        <f t="shared" si="1"/>
        <v>0</v>
      </c>
      <c r="F64" s="11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14" t="s">
        <v>196</v>
      </c>
      <c r="B65" s="118">
        <f>E5*'Page 3-Assumptions'!$B$54</f>
        <v>0</v>
      </c>
      <c r="C65" s="115"/>
      <c r="D65" s="115"/>
      <c r="E65" s="117">
        <f t="shared" si="1"/>
        <v>0</v>
      </c>
      <c r="F65" s="11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14" t="s">
        <v>197</v>
      </c>
      <c r="B66" s="116"/>
      <c r="C66" s="115"/>
      <c r="D66" s="115">
        <f>'Support-CDE start-up grant'!D15</f>
        <v>0</v>
      </c>
      <c r="E66" s="117">
        <f t="shared" si="1"/>
        <v>0</v>
      </c>
      <c r="F66" s="11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14" t="s">
        <v>198</v>
      </c>
      <c r="B67" s="116">
        <f>'Page 5-Year 1'!B67*1.05</f>
        <v>0</v>
      </c>
      <c r="C67" s="115"/>
      <c r="D67" s="115"/>
      <c r="E67" s="117">
        <f t="shared" si="1"/>
        <v>0</v>
      </c>
      <c r="F67" s="11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14" t="s">
        <v>199</v>
      </c>
      <c r="B68" s="116">
        <f>'Page 5-Year 1'!B68</f>
        <v>0</v>
      </c>
      <c r="C68" s="115"/>
      <c r="D68" s="115"/>
      <c r="E68" s="117">
        <f t="shared" si="1"/>
        <v>0</v>
      </c>
      <c r="F68" s="11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14" t="s">
        <v>200</v>
      </c>
      <c r="B69" s="116">
        <f>'Page 5-Year 1'!B69*1.043</f>
        <v>0</v>
      </c>
      <c r="C69" s="115"/>
      <c r="D69" s="115">
        <f>'Support-CDE start-up grant'!D16+'Support-CDE start-up grant'!D17+'Support-CDE start-up grant'!D18</f>
        <v>0</v>
      </c>
      <c r="E69" s="117">
        <f t="shared" si="1"/>
        <v>0</v>
      </c>
      <c r="F69" s="11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14" t="s">
        <v>201</v>
      </c>
      <c r="B70" s="116">
        <f>'Page 5-Year 1'!B70*1.043</f>
        <v>0</v>
      </c>
      <c r="C70" s="115"/>
      <c r="D70" s="115">
        <f>'Support-CDE start-up grant'!D19+'Support-CDE start-up grant'!D20+'Support-CDE start-up grant'!D21</f>
        <v>0</v>
      </c>
      <c r="E70" s="117">
        <f t="shared" si="1"/>
        <v>0</v>
      </c>
      <c r="F70" s="11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14" t="s">
        <v>202</v>
      </c>
      <c r="B71" s="118">
        <f>'Page 3-Assumptions'!$B$55*'Page 1-Enrollment Plan'!D21</f>
        <v>0</v>
      </c>
      <c r="C71" s="115"/>
      <c r="D71" s="115"/>
      <c r="E71" s="117">
        <f t="shared" si="1"/>
        <v>0</v>
      </c>
      <c r="F71" s="11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14" t="s">
        <v>203</v>
      </c>
      <c r="B72" s="115"/>
      <c r="C72" s="115"/>
      <c r="D72" s="115"/>
      <c r="E72" s="117">
        <f t="shared" si="1"/>
        <v>0</v>
      </c>
      <c r="F72" s="11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14" t="s">
        <v>204</v>
      </c>
      <c r="B73" s="118">
        <f>('Page 3-Assumptions'!$B$56*'Page 1-Enrollment Plan'!D21)</f>
        <v>0</v>
      </c>
      <c r="C73" s="115"/>
      <c r="D73" s="115"/>
      <c r="E73" s="117">
        <f t="shared" si="1"/>
        <v>0</v>
      </c>
      <c r="F73" s="11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14" t="s">
        <v>205</v>
      </c>
      <c r="B74" s="130">
        <v>0</v>
      </c>
      <c r="C74" s="130"/>
      <c r="D74" s="130"/>
      <c r="E74" s="117">
        <f t="shared" si="1"/>
        <v>0</v>
      </c>
      <c r="F74" s="11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22" t="s">
        <v>206</v>
      </c>
      <c r="B75" s="123">
        <f>SUM(B33:B74)</f>
        <v>912055.8</v>
      </c>
      <c r="C75" s="123">
        <f>SUM(C33:C74)</f>
        <v>0</v>
      </c>
      <c r="D75" s="123">
        <f>SUM(D33:D74)</f>
        <v>0</v>
      </c>
      <c r="E75" s="123">
        <f>SUM(E33:E74)</f>
        <v>912055.8</v>
      </c>
      <c r="F75" s="11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34"/>
      <c r="B76" s="125"/>
      <c r="C76" s="125"/>
      <c r="D76" s="125"/>
      <c r="E76" s="126"/>
      <c r="F76" s="11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32" t="s">
        <v>207</v>
      </c>
      <c r="B77" s="123">
        <f>B30-B75</f>
        <v>-911555.8</v>
      </c>
      <c r="C77" s="123">
        <f>C30-C75</f>
        <v>1500</v>
      </c>
      <c r="D77" s="123">
        <f>D30-D75</f>
        <v>0</v>
      </c>
      <c r="E77" s="123">
        <f>E30-E75</f>
        <v>-910055.8</v>
      </c>
      <c r="F77" s="11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33"/>
      <c r="B78" s="125"/>
      <c r="C78" s="125"/>
      <c r="D78" s="125"/>
      <c r="E78" s="126"/>
      <c r="F78" s="11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34" t="s">
        <v>215</v>
      </c>
      <c r="B79" s="125"/>
      <c r="C79" s="125"/>
      <c r="D79" s="135"/>
      <c r="E79" s="117">
        <f t="shared" ref="E79" si="2">SUM(B79:D79)</f>
        <v>0</v>
      </c>
      <c r="F79" s="11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hidden="1" customHeight="1" x14ac:dyDescent="0.2">
      <c r="A80" s="120"/>
      <c r="B80" s="125"/>
      <c r="C80" s="125"/>
      <c r="D80" s="135"/>
      <c r="E80" s="126"/>
      <c r="F80" s="11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36"/>
      <c r="B81" s="165"/>
      <c r="C81" s="125"/>
      <c r="D81" s="125"/>
      <c r="E81" s="126"/>
      <c r="F81" s="11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61" t="s">
        <v>209</v>
      </c>
      <c r="B82" s="156">
        <f>SUM(B77:B81)</f>
        <v>-911555.8</v>
      </c>
      <c r="C82" s="156">
        <f>SUM(C77:C81)</f>
        <v>1500</v>
      </c>
      <c r="D82" s="156">
        <f>SUM(D77:D81)</f>
        <v>0</v>
      </c>
      <c r="E82" s="156">
        <f>E77-E81</f>
        <v>-910055.8</v>
      </c>
      <c r="F82" s="11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57"/>
      <c r="B83" s="158"/>
      <c r="C83" s="158"/>
      <c r="D83" s="158"/>
      <c r="E83" s="159"/>
      <c r="F83" s="10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36" t="s">
        <v>210</v>
      </c>
      <c r="B84" s="22"/>
      <c r="C84" s="22"/>
      <c r="D84" s="22"/>
      <c r="E84" s="138">
        <f>'Page 5-Year 1'!E85</f>
        <v>-1254721.8</v>
      </c>
      <c r="F84" s="10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36" t="s">
        <v>211</v>
      </c>
      <c r="B85" s="22"/>
      <c r="C85" s="22"/>
      <c r="D85" s="22"/>
      <c r="E85" s="138">
        <f>E84+E82</f>
        <v>-2164777.6</v>
      </c>
      <c r="F85" s="10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3.75" customHeight="1" x14ac:dyDescent="0.2">
      <c r="A86" s="301" t="s">
        <v>287</v>
      </c>
      <c r="B86" s="22"/>
      <c r="C86" s="22"/>
      <c r="D86" s="22"/>
      <c r="E86" s="135">
        <f>B95</f>
        <v>27361.673999999999</v>
      </c>
      <c r="F86" s="310" t="s">
        <v>293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301" t="s">
        <v>288</v>
      </c>
      <c r="B87" s="22"/>
      <c r="C87" s="22"/>
      <c r="D87" s="22"/>
      <c r="E87" s="135">
        <f>E85-E86</f>
        <v>-2192139.2740000002</v>
      </c>
      <c r="F87" s="10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301" t="s">
        <v>289</v>
      </c>
      <c r="B88" s="22"/>
      <c r="C88" s="22"/>
      <c r="D88" s="22"/>
      <c r="E88" s="140">
        <f>E87/E75</f>
        <v>-2.4035144275163867</v>
      </c>
      <c r="F88" s="10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41"/>
      <c r="B89" s="25"/>
      <c r="C89" s="25"/>
      <c r="D89" s="25"/>
      <c r="E89" s="26"/>
      <c r="F89" s="14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2" spans="1:26" x14ac:dyDescent="0.2">
      <c r="A92" s="314" t="s">
        <v>298</v>
      </c>
      <c r="B92" s="315">
        <f>'Page 1-Enrollment Plan'!D21*100</f>
        <v>0</v>
      </c>
    </row>
    <row r="93" spans="1:26" x14ac:dyDescent="0.2">
      <c r="A93" s="314" t="s">
        <v>299</v>
      </c>
      <c r="B93" s="315">
        <f>B75*0.03</f>
        <v>27361.673999999999</v>
      </c>
    </row>
    <row r="94" spans="1:26" x14ac:dyDescent="0.2">
      <c r="A94" s="314" t="s">
        <v>300</v>
      </c>
      <c r="B94" s="315">
        <v>0</v>
      </c>
    </row>
    <row r="95" spans="1:26" x14ac:dyDescent="0.2">
      <c r="A95" s="314" t="s">
        <v>301</v>
      </c>
      <c r="B95" s="316">
        <f>SUM(B92:B94)</f>
        <v>27361.673999999999</v>
      </c>
    </row>
  </sheetData>
  <mergeCells count="1">
    <mergeCell ref="B3:E3"/>
  </mergeCells>
  <printOptions horizontalCentered="1"/>
  <pageMargins left="0.25" right="0.25" top="0.4" bottom="0.69027777777777799" header="0.51180555555555496" footer="0.51180555555555496"/>
  <pageSetup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5"/>
  <sheetViews>
    <sheetView topLeftCell="A40" zoomScale="110" zoomScaleNormal="110" zoomScalePageLayoutView="110" workbookViewId="0">
      <selection activeCell="E79" sqref="E79"/>
    </sheetView>
  </sheetViews>
  <sheetFormatPr defaultColWidth="8.85546875" defaultRowHeight="12.75" x14ac:dyDescent="0.2"/>
  <cols>
    <col min="1" max="1" width="40.7109375" customWidth="1"/>
    <col min="2" max="5" width="15.85546875" customWidth="1"/>
    <col min="6" max="6" width="45.85546875" customWidth="1"/>
    <col min="7" max="26" width="8.7109375" customWidth="1"/>
    <col min="27" max="1025" width="14.42578125" customWidth="1"/>
  </cols>
  <sheetData>
    <row r="1" spans="1:26" ht="12.75" customHeight="1" x14ac:dyDescent="0.3">
      <c r="A1" s="99">
        <f>'Page 3-Assumptions'!A1</f>
        <v>0</v>
      </c>
      <c r="B1" s="100"/>
      <c r="C1" s="100"/>
      <c r="D1" s="100"/>
      <c r="E1" s="17"/>
      <c r="F1" s="101" t="s">
        <v>141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102" t="str">
        <f>B3</f>
        <v>FY 2023-24</v>
      </c>
      <c r="B2" s="22"/>
      <c r="C2" s="22"/>
      <c r="D2" s="22"/>
      <c r="E2" s="19"/>
      <c r="F2" s="10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04"/>
      <c r="B3" s="340" t="str">
        <f>'Page 10-6 yr Budget-detail'!E4</f>
        <v>FY 2023-24</v>
      </c>
      <c r="C3" s="340"/>
      <c r="D3" s="340"/>
      <c r="E3" s="340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2.75" customHeight="1" x14ac:dyDescent="0.2">
      <c r="A4" s="21"/>
      <c r="B4" s="107" t="s">
        <v>143</v>
      </c>
      <c r="C4" s="107" t="s">
        <v>144</v>
      </c>
      <c r="D4" s="107" t="s">
        <v>145</v>
      </c>
      <c r="E4" s="166" t="s">
        <v>140</v>
      </c>
      <c r="F4" s="146" t="s">
        <v>142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2.75" customHeight="1" x14ac:dyDescent="0.2">
      <c r="A5" s="109" t="s">
        <v>146</v>
      </c>
      <c r="B5" s="110"/>
      <c r="C5" s="110"/>
      <c r="D5" s="110"/>
      <c r="E5" s="167">
        <f>'Page 1-Enrollment Plan'!E21</f>
        <v>0</v>
      </c>
      <c r="F5" s="148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2.75" customHeight="1" x14ac:dyDescent="0.2">
      <c r="A6" s="109" t="s">
        <v>147</v>
      </c>
      <c r="B6" s="110"/>
      <c r="C6" s="110"/>
      <c r="D6" s="110"/>
      <c r="E6" s="168">
        <f>'Page 1-Enrollment Plan'!E23</f>
        <v>0</v>
      </c>
      <c r="F6" s="108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12.75" customHeight="1" x14ac:dyDescent="0.2">
      <c r="A7" s="21" t="s">
        <v>54</v>
      </c>
      <c r="B7" s="110"/>
      <c r="C7" s="110"/>
      <c r="D7" s="110"/>
      <c r="E7" s="169"/>
      <c r="F7" s="108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33.75" customHeight="1" x14ac:dyDescent="0.2">
      <c r="A8" s="114" t="s">
        <v>148</v>
      </c>
      <c r="B8" s="116"/>
      <c r="C8" s="116"/>
      <c r="D8" s="116"/>
      <c r="E8" s="123">
        <f t="shared" ref="E8:E29" si="0">SUM(B8:D8)</f>
        <v>0</v>
      </c>
      <c r="F8" s="310" t="s">
        <v>292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14" t="s">
        <v>149</v>
      </c>
      <c r="B9" s="116"/>
      <c r="C9" s="118">
        <v>0</v>
      </c>
      <c r="D9" s="118">
        <v>0</v>
      </c>
      <c r="E9" s="117">
        <f t="shared" si="0"/>
        <v>0</v>
      </c>
      <c r="F9" s="11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14" t="s">
        <v>150</v>
      </c>
      <c r="B10" s="116"/>
      <c r="C10" s="115"/>
      <c r="D10" s="115"/>
      <c r="E10" s="123">
        <f t="shared" si="0"/>
        <v>0</v>
      </c>
      <c r="F10" s="1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14" t="s">
        <v>151</v>
      </c>
      <c r="B11" s="116"/>
      <c r="C11" s="115"/>
      <c r="D11" s="115"/>
      <c r="E11" s="123">
        <f t="shared" si="0"/>
        <v>0</v>
      </c>
      <c r="F11" s="11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114" t="s">
        <v>152</v>
      </c>
      <c r="B12" s="116">
        <f>B73</f>
        <v>0</v>
      </c>
      <c r="C12" s="115"/>
      <c r="D12" s="115"/>
      <c r="E12" s="123">
        <f t="shared" si="0"/>
        <v>0</v>
      </c>
      <c r="F12" s="11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14" t="s">
        <v>153</v>
      </c>
      <c r="B13" s="116">
        <f>100*E5*0.8</f>
        <v>0</v>
      </c>
      <c r="C13" s="115"/>
      <c r="D13" s="115"/>
      <c r="E13" s="123">
        <f t="shared" si="0"/>
        <v>0</v>
      </c>
      <c r="F13" s="1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20" t="s">
        <v>154</v>
      </c>
      <c r="B14" s="116"/>
      <c r="C14" s="115"/>
      <c r="D14" s="115"/>
      <c r="E14" s="123">
        <f t="shared" si="0"/>
        <v>0</v>
      </c>
      <c r="F14" s="11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70" t="s">
        <v>155</v>
      </c>
      <c r="B15" s="116">
        <f>E6*'Page 3-Assumptions'!E8</f>
        <v>0</v>
      </c>
      <c r="C15" s="118">
        <v>0</v>
      </c>
      <c r="D15" s="118">
        <v>0</v>
      </c>
      <c r="E15" s="123">
        <f t="shared" si="0"/>
        <v>0</v>
      </c>
      <c r="F15" s="11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70" t="s">
        <v>156</v>
      </c>
      <c r="B16" s="116">
        <f>'Page 3-Assumptions'!E9</f>
        <v>0</v>
      </c>
      <c r="C16" s="118">
        <v>0</v>
      </c>
      <c r="D16" s="118">
        <v>0</v>
      </c>
      <c r="E16" s="123">
        <f t="shared" si="0"/>
        <v>0</v>
      </c>
      <c r="F16" s="1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14" t="s">
        <v>73</v>
      </c>
      <c r="B17" s="116"/>
      <c r="C17" s="118">
        <f>'Page 3-Assumptions'!$E$11</f>
        <v>0</v>
      </c>
      <c r="D17" s="118">
        <v>0</v>
      </c>
      <c r="E17" s="123">
        <f t="shared" si="0"/>
        <v>0</v>
      </c>
      <c r="F17" s="1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50" t="s">
        <v>79</v>
      </c>
      <c r="B18" s="118">
        <f>'Page 3-Assumptions'!E14</f>
        <v>500</v>
      </c>
      <c r="C18" s="118">
        <v>0</v>
      </c>
      <c r="D18" s="118">
        <v>0</v>
      </c>
      <c r="E18" s="123">
        <f t="shared" si="0"/>
        <v>500</v>
      </c>
      <c r="F18" s="1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50" t="s">
        <v>158</v>
      </c>
      <c r="B19" s="116"/>
      <c r="C19" s="115"/>
      <c r="D19" s="115"/>
      <c r="E19" s="123">
        <f t="shared" si="0"/>
        <v>0</v>
      </c>
      <c r="F19" s="1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14" t="s">
        <v>83</v>
      </c>
      <c r="B20" s="116">
        <f>'Page 3-Assumptions'!E16</f>
        <v>0</v>
      </c>
      <c r="C20" s="118">
        <v>0</v>
      </c>
      <c r="D20" s="118">
        <v>0</v>
      </c>
      <c r="E20" s="123">
        <f t="shared" si="0"/>
        <v>0</v>
      </c>
      <c r="F20" s="1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14" t="s">
        <v>281</v>
      </c>
      <c r="B21" s="116">
        <f>'Page 3-Assumptions'!E18</f>
        <v>0</v>
      </c>
      <c r="C21" s="118">
        <v>0</v>
      </c>
      <c r="D21" s="118">
        <v>0</v>
      </c>
      <c r="E21" s="123"/>
      <c r="F21" s="1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50" t="s">
        <v>88</v>
      </c>
      <c r="B22" s="116"/>
      <c r="C22" s="118">
        <f>'Page 3-Assumptions'!$E$19</f>
        <v>0</v>
      </c>
      <c r="D22" s="118">
        <v>0</v>
      </c>
      <c r="E22" s="123">
        <f t="shared" si="0"/>
        <v>0</v>
      </c>
      <c r="F22" s="1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50" t="s">
        <v>159</v>
      </c>
      <c r="B23" s="116"/>
      <c r="C23" s="118">
        <f>'Page 3-Assumptions'!$E$20</f>
        <v>0</v>
      </c>
      <c r="D23" s="118">
        <v>0</v>
      </c>
      <c r="E23" s="123">
        <f t="shared" si="0"/>
        <v>0</v>
      </c>
      <c r="F23" s="1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50" t="s">
        <v>92</v>
      </c>
      <c r="B24" s="116"/>
      <c r="C24" s="118">
        <f>'Page 3-Assumptions'!$E$21</f>
        <v>0</v>
      </c>
      <c r="D24" s="118">
        <v>0</v>
      </c>
      <c r="E24" s="123">
        <f t="shared" si="0"/>
        <v>0</v>
      </c>
      <c r="F24" s="1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14" t="s">
        <v>273</v>
      </c>
      <c r="B25" s="116"/>
      <c r="C25" s="118">
        <f>'Page 3-Assumptions'!$E$22</f>
        <v>1500</v>
      </c>
      <c r="D25" s="118"/>
      <c r="E25" s="123">
        <f t="shared" si="0"/>
        <v>1500</v>
      </c>
      <c r="F25" s="11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50" t="s">
        <v>160</v>
      </c>
      <c r="B26" s="116"/>
      <c r="C26" s="115"/>
      <c r="D26" s="115"/>
      <c r="E26" s="123">
        <f t="shared" si="0"/>
        <v>0</v>
      </c>
      <c r="F26" s="11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50" t="s">
        <v>161</v>
      </c>
      <c r="B27" s="116"/>
      <c r="C27" s="115"/>
      <c r="D27" s="115"/>
      <c r="E27" s="123">
        <f t="shared" si="0"/>
        <v>0</v>
      </c>
      <c r="F27" s="1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50" t="s">
        <v>58</v>
      </c>
      <c r="B28" s="118">
        <f>E6*'Page 3-Assumptions'!E5</f>
        <v>0</v>
      </c>
      <c r="C28" s="118">
        <v>0</v>
      </c>
      <c r="D28" s="118">
        <v>0</v>
      </c>
      <c r="E28" s="123">
        <f t="shared" si="0"/>
        <v>0</v>
      </c>
      <c r="F28" s="1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14" t="s">
        <v>162</v>
      </c>
      <c r="B29" s="121">
        <f>'Page 3-Assumptions'!E6</f>
        <v>0</v>
      </c>
      <c r="C29" s="121">
        <v>0</v>
      </c>
      <c r="D29" s="121">
        <v>0</v>
      </c>
      <c r="E29" s="123">
        <f t="shared" si="0"/>
        <v>0</v>
      </c>
      <c r="F29" s="1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2" t="s">
        <v>163</v>
      </c>
      <c r="B30" s="123">
        <f>SUM(B8:B29)</f>
        <v>500</v>
      </c>
      <c r="C30" s="123">
        <f>SUM(C8:C29)</f>
        <v>1500</v>
      </c>
      <c r="D30" s="123">
        <f>SUM(D8:D29)</f>
        <v>0</v>
      </c>
      <c r="E30" s="123">
        <f>SUM(E8:E29)</f>
        <v>2000</v>
      </c>
      <c r="F30" s="11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4"/>
      <c r="B31" s="125"/>
      <c r="C31" s="125"/>
      <c r="D31" s="125"/>
      <c r="E31" s="171"/>
      <c r="F31" s="11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7" t="s">
        <v>100</v>
      </c>
      <c r="B32" s="125"/>
      <c r="C32" s="125"/>
      <c r="D32" s="125"/>
      <c r="E32" s="126"/>
      <c r="F32" s="1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14" t="s">
        <v>164</v>
      </c>
      <c r="B33" s="118">
        <f>'Page 2-Staffing Plan'!E32</f>
        <v>970100.00000000012</v>
      </c>
      <c r="C33" s="115"/>
      <c r="D33" s="115"/>
      <c r="E33" s="117">
        <f t="shared" ref="E33:E74" si="1">SUM(B33:D33)</f>
        <v>970100.00000000012</v>
      </c>
      <c r="F33" s="11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14" t="s">
        <v>165</v>
      </c>
      <c r="B34" s="118">
        <f>('Page 3-Assumptions'!B39*'Page 3-Assumptions'!B40)*('Page 2-Staffing Plan'!E15)</f>
        <v>0</v>
      </c>
      <c r="C34" s="115"/>
      <c r="D34" s="115"/>
      <c r="E34" s="117">
        <f t="shared" si="1"/>
        <v>0</v>
      </c>
      <c r="F34" s="11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14" t="s">
        <v>166</v>
      </c>
      <c r="B35" s="118">
        <f>(B33+B34)*1.45%</f>
        <v>14066.45</v>
      </c>
      <c r="C35" s="115"/>
      <c r="D35" s="115"/>
      <c r="E35" s="117">
        <f t="shared" si="1"/>
        <v>14066.45</v>
      </c>
      <c r="F35" s="11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14" t="s">
        <v>167</v>
      </c>
      <c r="B36" s="118">
        <f>'Page 6-Year 2'!B36</f>
        <v>0</v>
      </c>
      <c r="C36" s="115"/>
      <c r="D36" s="115"/>
      <c r="E36" s="117">
        <f t="shared" si="1"/>
        <v>0</v>
      </c>
      <c r="F36" s="11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14" t="s">
        <v>168</v>
      </c>
      <c r="B37" s="118">
        <f>((E33+E34)*'Page 3-Assumptions'!E31)-C37</f>
        <v>203235.95</v>
      </c>
      <c r="C37" s="153"/>
      <c r="D37" s="115"/>
      <c r="E37" s="117">
        <f t="shared" si="1"/>
        <v>203235.95</v>
      </c>
      <c r="F37" s="1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14" t="s">
        <v>169</v>
      </c>
      <c r="B38" s="118">
        <f>('Page 3-Assumptions'!B41*1.05^3)*'Page 2-Staffing Plan'!E37</f>
        <v>0</v>
      </c>
      <c r="C38" s="115"/>
      <c r="D38" s="115"/>
      <c r="E38" s="117">
        <f t="shared" si="1"/>
        <v>0</v>
      </c>
      <c r="F38" s="11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14" t="s">
        <v>170</v>
      </c>
      <c r="B39" s="118">
        <f>('Page 3-Assumptions'!B42*1.02^2)*'Page 2-Staffing Plan'!E37</f>
        <v>0</v>
      </c>
      <c r="C39" s="115"/>
      <c r="D39" s="115"/>
      <c r="E39" s="117">
        <f t="shared" si="1"/>
        <v>0</v>
      </c>
      <c r="F39" s="11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14" t="s">
        <v>171</v>
      </c>
      <c r="B40" s="118">
        <f>'Page 6-Year 2'!B40</f>
        <v>0</v>
      </c>
      <c r="C40" s="115"/>
      <c r="D40" s="115"/>
      <c r="E40" s="117">
        <f t="shared" si="1"/>
        <v>0</v>
      </c>
      <c r="F40" s="11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14" t="s">
        <v>172</v>
      </c>
      <c r="B41" s="118">
        <f>'Page 6-Year 2'!B41</f>
        <v>0</v>
      </c>
      <c r="C41" s="116"/>
      <c r="D41" s="115"/>
      <c r="E41" s="117">
        <f t="shared" si="1"/>
        <v>0</v>
      </c>
      <c r="F41" s="11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14" t="s">
        <v>173</v>
      </c>
      <c r="B42" s="118">
        <f>('Page 3-Assumptions'!$B$45*'Page 2-Staffing Plan'!E37)</f>
        <v>0</v>
      </c>
      <c r="C42" s="115"/>
      <c r="D42" s="115"/>
      <c r="E42" s="117">
        <f t="shared" si="1"/>
        <v>0</v>
      </c>
      <c r="F42" s="11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14" t="s">
        <v>174</v>
      </c>
      <c r="B43" s="118">
        <f>'Page 3-Assumptions'!E67</f>
        <v>0</v>
      </c>
      <c r="C43" s="130"/>
      <c r="D43" s="130"/>
      <c r="E43" s="117">
        <f t="shared" si="1"/>
        <v>0</v>
      </c>
      <c r="F43" s="11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14" t="s">
        <v>175</v>
      </c>
      <c r="B44" s="118">
        <f>E5*'Page 3-Assumptions'!$B$46</f>
        <v>0</v>
      </c>
      <c r="C44" s="115"/>
      <c r="D44" s="115"/>
      <c r="E44" s="117">
        <f t="shared" si="1"/>
        <v>0</v>
      </c>
      <c r="F44" s="11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14" t="s">
        <v>176</v>
      </c>
      <c r="B45" s="115"/>
      <c r="C45" s="115"/>
      <c r="D45" s="115"/>
      <c r="E45" s="117">
        <f t="shared" si="1"/>
        <v>0</v>
      </c>
      <c r="F45" s="11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14" t="s">
        <v>177</v>
      </c>
      <c r="B46" s="115">
        <f>'Page 6-Year 2'!B46*1.05+'Page 6-Year 2'!D46*1.05</f>
        <v>0</v>
      </c>
      <c r="C46" s="115"/>
      <c r="D46" s="115"/>
      <c r="E46" s="117">
        <f t="shared" si="1"/>
        <v>0</v>
      </c>
      <c r="F46" s="11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14" t="s">
        <v>178</v>
      </c>
      <c r="B47" s="115"/>
      <c r="C47" s="115">
        <f>SUM(C16:C24)</f>
        <v>0</v>
      </c>
      <c r="D47" s="115"/>
      <c r="E47" s="117">
        <f t="shared" si="1"/>
        <v>0</v>
      </c>
      <c r="F47" s="11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14" t="s">
        <v>179</v>
      </c>
      <c r="B48" s="115">
        <f>'Page 6-Year 2'!D48*1.05</f>
        <v>0</v>
      </c>
      <c r="C48" s="115"/>
      <c r="D48" s="115"/>
      <c r="E48" s="117">
        <f t="shared" si="1"/>
        <v>0</v>
      </c>
      <c r="F48" s="11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14" t="s">
        <v>180</v>
      </c>
      <c r="B49" s="115">
        <f>'Page 6-Year 2'!B49*1.05</f>
        <v>0</v>
      </c>
      <c r="C49" s="116"/>
      <c r="D49" s="115"/>
      <c r="E49" s="117">
        <f t="shared" si="1"/>
        <v>0</v>
      </c>
      <c r="F49" s="11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14" t="s">
        <v>181</v>
      </c>
      <c r="B50" s="115">
        <f>'Page 6-Year 2'!B50*1.05</f>
        <v>0</v>
      </c>
      <c r="C50" s="115"/>
      <c r="D50" s="115"/>
      <c r="E50" s="117">
        <f t="shared" si="1"/>
        <v>0</v>
      </c>
      <c r="F50" s="11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14" t="s">
        <v>182</v>
      </c>
      <c r="B51" s="115">
        <f>'Page 6-Year 2'!B51*1.05</f>
        <v>0</v>
      </c>
      <c r="C51" s="115"/>
      <c r="D51" s="115"/>
      <c r="E51" s="117">
        <f t="shared" si="1"/>
        <v>0</v>
      </c>
      <c r="F51" s="11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14" t="s">
        <v>183</v>
      </c>
      <c r="B52" s="118">
        <f>(SUM('Page 1-Enrollment Plan'!E7:E17))*'Page 3-Assumptions'!$B$47</f>
        <v>0</v>
      </c>
      <c r="C52" s="115"/>
      <c r="D52" s="115"/>
      <c r="E52" s="117">
        <f t="shared" si="1"/>
        <v>0</v>
      </c>
      <c r="F52" s="11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14" t="s">
        <v>184</v>
      </c>
      <c r="B53" s="118">
        <f>('Page 3-Assumptions'!$B$48+'Page 3-Assumptions'!$B$49)*'Page 1-Enrollment Plan'!E21</f>
        <v>0</v>
      </c>
      <c r="C53" s="115"/>
      <c r="D53" s="115"/>
      <c r="E53" s="117">
        <f t="shared" si="1"/>
        <v>0</v>
      </c>
      <c r="F53" s="11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14" t="s">
        <v>185</v>
      </c>
      <c r="B54" s="118">
        <f>'Page 3-Assumptions'!E35</f>
        <v>0</v>
      </c>
      <c r="C54" s="115"/>
      <c r="D54" s="115"/>
      <c r="E54" s="117">
        <f t="shared" si="1"/>
        <v>0</v>
      </c>
      <c r="F54" s="11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14" t="s">
        <v>186</v>
      </c>
      <c r="B55" s="118">
        <f>'Page 3-Assumptions'!$E$34*(E33+E34)</f>
        <v>2910.3000000000006</v>
      </c>
      <c r="C55" s="115"/>
      <c r="D55" s="115"/>
      <c r="E55" s="117">
        <f t="shared" si="1"/>
        <v>2910.3000000000006</v>
      </c>
      <c r="F55" s="11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14" t="s">
        <v>187</v>
      </c>
      <c r="B56" s="118">
        <f>((E33+E34)/100)*2</f>
        <v>19402.000000000004</v>
      </c>
      <c r="C56" s="115"/>
      <c r="D56" s="115"/>
      <c r="E56" s="117">
        <f t="shared" si="1"/>
        <v>19402.000000000004</v>
      </c>
      <c r="F56" s="11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14" t="s">
        <v>188</v>
      </c>
      <c r="B57" s="115">
        <f>'Page 6-Year 2'!B57*1.05</f>
        <v>0</v>
      </c>
      <c r="C57" s="115"/>
      <c r="D57" s="115"/>
      <c r="E57" s="117">
        <f t="shared" si="1"/>
        <v>0</v>
      </c>
      <c r="F57" s="11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14" t="s">
        <v>189</v>
      </c>
      <c r="B58" s="118">
        <f>'Page 3-Assumptions'!$B$50*'Page 1-Enrollment Plan'!$E$21</f>
        <v>0</v>
      </c>
      <c r="C58" s="115"/>
      <c r="D58" s="115"/>
      <c r="E58" s="117">
        <f t="shared" si="1"/>
        <v>0</v>
      </c>
      <c r="F58" s="11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14" t="s">
        <v>190</v>
      </c>
      <c r="B59" s="118">
        <f>E5*'Page 3-Assumptions'!$B$51</f>
        <v>0</v>
      </c>
      <c r="C59" s="115"/>
      <c r="D59" s="115"/>
      <c r="E59" s="117">
        <f t="shared" si="1"/>
        <v>0</v>
      </c>
      <c r="F59" s="1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14" t="s">
        <v>191</v>
      </c>
      <c r="B60" s="118">
        <f>'Page 2-Staffing Plan'!E37*'Page 3-Assumptions'!$B$44</f>
        <v>0</v>
      </c>
      <c r="C60" s="115"/>
      <c r="D60" s="154"/>
      <c r="E60" s="117">
        <f t="shared" si="1"/>
        <v>0</v>
      </c>
      <c r="F60" s="119" t="s">
        <v>26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14" t="s">
        <v>192</v>
      </c>
      <c r="B61" s="118">
        <f>E28*'Page 3-Assumptions'!E29</f>
        <v>0</v>
      </c>
      <c r="C61" s="115"/>
      <c r="D61" s="115"/>
      <c r="E61" s="117">
        <f t="shared" si="1"/>
        <v>0</v>
      </c>
      <c r="F61" s="11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14" t="s">
        <v>193</v>
      </c>
      <c r="B62" s="118">
        <f>B28*'Page 3-Assumptions'!E30</f>
        <v>0</v>
      </c>
      <c r="C62" s="115"/>
      <c r="D62" s="115"/>
      <c r="E62" s="117">
        <f t="shared" si="1"/>
        <v>0</v>
      </c>
      <c r="F62" s="11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14" t="s">
        <v>194</v>
      </c>
      <c r="B63" s="118">
        <f>'Page 3-Assumptions'!$B$52*'Page 1-Enrollment Plan'!$E$21</f>
        <v>0</v>
      </c>
      <c r="C63" s="115"/>
      <c r="D63" s="115"/>
      <c r="E63" s="117">
        <f t="shared" si="1"/>
        <v>0</v>
      </c>
      <c r="F63" s="119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14" t="s">
        <v>195</v>
      </c>
      <c r="B64" s="118">
        <f>E5*'Page 3-Assumptions'!$B$53</f>
        <v>0</v>
      </c>
      <c r="C64" s="115"/>
      <c r="D64" s="115"/>
      <c r="E64" s="117">
        <f t="shared" si="1"/>
        <v>0</v>
      </c>
      <c r="F64" s="11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14" t="s">
        <v>196</v>
      </c>
      <c r="B65" s="118">
        <f>E5*'Page 3-Assumptions'!$B$54</f>
        <v>0</v>
      </c>
      <c r="C65" s="115"/>
      <c r="D65" s="115"/>
      <c r="E65" s="117">
        <f t="shared" si="1"/>
        <v>0</v>
      </c>
      <c r="F65" s="11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14" t="s">
        <v>197</v>
      </c>
      <c r="B66" s="116">
        <f>('Page 6-Year 2'!D66+'Page 6-Year 2'!B66)*1.05</f>
        <v>0</v>
      </c>
      <c r="C66" s="115"/>
      <c r="D66" s="154"/>
      <c r="E66" s="117">
        <f t="shared" si="1"/>
        <v>0</v>
      </c>
      <c r="F66" s="11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14" t="s">
        <v>198</v>
      </c>
      <c r="B67" s="116">
        <f>'Page 6-Year 2'!B67*1.05</f>
        <v>0</v>
      </c>
      <c r="C67" s="115"/>
      <c r="D67" s="115"/>
      <c r="E67" s="117">
        <f t="shared" si="1"/>
        <v>0</v>
      </c>
      <c r="F67" s="11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14" t="s">
        <v>199</v>
      </c>
      <c r="B68" s="116">
        <f>'Page 6-Year 2'!B68</f>
        <v>0</v>
      </c>
      <c r="C68" s="115"/>
      <c r="D68" s="115"/>
      <c r="E68" s="117">
        <f t="shared" si="1"/>
        <v>0</v>
      </c>
      <c r="F68" s="11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14" t="s">
        <v>200</v>
      </c>
      <c r="B69" s="116">
        <v>0</v>
      </c>
      <c r="C69" s="115"/>
      <c r="D69" s="115"/>
      <c r="E69" s="117">
        <f t="shared" si="1"/>
        <v>0</v>
      </c>
      <c r="F69" s="11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14" t="s">
        <v>201</v>
      </c>
      <c r="B70" s="116">
        <v>0</v>
      </c>
      <c r="C70" s="115"/>
      <c r="D70" s="154"/>
      <c r="E70" s="117">
        <f t="shared" si="1"/>
        <v>0</v>
      </c>
      <c r="F70" s="11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14" t="s">
        <v>202</v>
      </c>
      <c r="B71" s="118">
        <f>'Page 3-Assumptions'!$B$55*'Page 1-Enrollment Plan'!E21</f>
        <v>0</v>
      </c>
      <c r="C71" s="115"/>
      <c r="D71" s="115"/>
      <c r="E71" s="117">
        <f t="shared" si="1"/>
        <v>0</v>
      </c>
      <c r="F71" s="11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14" t="s">
        <v>203</v>
      </c>
      <c r="B72" s="115">
        <v>0</v>
      </c>
      <c r="C72" s="115"/>
      <c r="D72" s="115"/>
      <c r="E72" s="117">
        <f t="shared" si="1"/>
        <v>0</v>
      </c>
      <c r="F72" s="11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14" t="s">
        <v>204</v>
      </c>
      <c r="B73" s="118">
        <f>('Page 3-Assumptions'!$B$56*'Page 1-Enrollment Plan'!E21)</f>
        <v>0</v>
      </c>
      <c r="C73" s="115"/>
      <c r="D73" s="115"/>
      <c r="E73" s="117">
        <f t="shared" si="1"/>
        <v>0</v>
      </c>
      <c r="F73" s="11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14" t="s">
        <v>205</v>
      </c>
      <c r="B74" s="130">
        <v>0</v>
      </c>
      <c r="C74" s="130"/>
      <c r="D74" s="130"/>
      <c r="E74" s="117">
        <f t="shared" si="1"/>
        <v>0</v>
      </c>
      <c r="F74" s="11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22" t="s">
        <v>206</v>
      </c>
      <c r="B75" s="123">
        <f>SUM(B33:B74)</f>
        <v>1209714.7000000002</v>
      </c>
      <c r="C75" s="123">
        <f>SUM(C33:C74)</f>
        <v>0</v>
      </c>
      <c r="D75" s="123">
        <f>SUM(D33:D74)</f>
        <v>0</v>
      </c>
      <c r="E75" s="123">
        <f>SUM(E33:E74)</f>
        <v>1209714.7000000002</v>
      </c>
      <c r="F75" s="11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34"/>
      <c r="B76" s="125"/>
      <c r="C76" s="125"/>
      <c r="D76" s="125"/>
      <c r="E76" s="126"/>
      <c r="F76" s="11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32" t="s">
        <v>207</v>
      </c>
      <c r="B77" s="123">
        <f>B30-B75</f>
        <v>-1209214.7000000002</v>
      </c>
      <c r="C77" s="123">
        <f>C30-C75</f>
        <v>1500</v>
      </c>
      <c r="D77" s="123">
        <f>D30-D75</f>
        <v>0</v>
      </c>
      <c r="E77" s="123">
        <f>E30-E75</f>
        <v>-1207714.7000000002</v>
      </c>
      <c r="F77" s="11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33"/>
      <c r="B78" s="125"/>
      <c r="C78" s="125"/>
      <c r="D78" s="125"/>
      <c r="E78" s="126"/>
      <c r="F78" s="11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34" t="s">
        <v>215</v>
      </c>
      <c r="B79" s="125"/>
      <c r="C79" s="125"/>
      <c r="D79" s="135"/>
      <c r="E79" s="117">
        <f t="shared" ref="E79" si="2">SUM(B79:D79)</f>
        <v>0</v>
      </c>
      <c r="F79" s="11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hidden="1" customHeight="1" x14ac:dyDescent="0.2">
      <c r="A80" s="120"/>
      <c r="B80" s="125"/>
      <c r="C80" s="125"/>
      <c r="D80" s="135"/>
      <c r="E80" s="126"/>
      <c r="F80" s="11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39"/>
      <c r="B81" s="165"/>
      <c r="C81" s="125"/>
      <c r="D81" s="125"/>
      <c r="E81" s="126"/>
      <c r="F81" s="11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61" t="s">
        <v>209</v>
      </c>
      <c r="B82" s="156">
        <f>SUM(B77:B81)</f>
        <v>-1209214.7000000002</v>
      </c>
      <c r="C82" s="156">
        <f>SUM(C77:C81)</f>
        <v>1500</v>
      </c>
      <c r="D82" s="156">
        <f>SUM(D77:D81)</f>
        <v>0</v>
      </c>
      <c r="E82" s="156">
        <f>SUM(E77:E81)</f>
        <v>-1207714.7000000002</v>
      </c>
      <c r="F82" s="11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57"/>
      <c r="B83" s="158"/>
      <c r="C83" s="158"/>
      <c r="D83" s="158"/>
      <c r="E83" s="159"/>
      <c r="F83" s="11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36" t="s">
        <v>210</v>
      </c>
      <c r="B84" s="22"/>
      <c r="C84" s="22"/>
      <c r="D84" s="22"/>
      <c r="E84" s="138">
        <f>'Page 6-Year 2'!E85</f>
        <v>-2164777.6</v>
      </c>
      <c r="F84" s="11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36" t="s">
        <v>211</v>
      </c>
      <c r="B85" s="22"/>
      <c r="C85" s="22"/>
      <c r="D85" s="22"/>
      <c r="E85" s="138">
        <f>E84+E82</f>
        <v>-3372492.3000000003</v>
      </c>
      <c r="F85" s="11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7.75" customHeight="1" x14ac:dyDescent="0.2">
      <c r="A86" s="301" t="s">
        <v>287</v>
      </c>
      <c r="B86" s="22"/>
      <c r="C86" s="22"/>
      <c r="D86" s="22"/>
      <c r="E86" s="135">
        <f>B95</f>
        <v>36291.441000000006</v>
      </c>
      <c r="F86" s="310" t="s">
        <v>293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301" t="s">
        <v>288</v>
      </c>
      <c r="B87" s="22"/>
      <c r="C87" s="22"/>
      <c r="D87" s="22"/>
      <c r="E87" s="135">
        <f>E85-E86</f>
        <v>-3408783.7410000004</v>
      </c>
      <c r="F87" s="119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301" t="s">
        <v>289</v>
      </c>
      <c r="B88" s="22"/>
      <c r="C88" s="22"/>
      <c r="D88" s="22"/>
      <c r="E88" s="140">
        <f>E87/E75</f>
        <v>-2.8178410504559461</v>
      </c>
      <c r="F88" s="10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41"/>
      <c r="B89" s="25"/>
      <c r="C89" s="25"/>
      <c r="D89" s="25"/>
      <c r="E89" s="26"/>
      <c r="F89" s="17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2" spans="1:26" x14ac:dyDescent="0.2">
      <c r="A92" s="314" t="s">
        <v>298</v>
      </c>
      <c r="B92" s="315">
        <f>100*'Page 1-Enrollment Plan'!E21</f>
        <v>0</v>
      </c>
    </row>
    <row r="93" spans="1:26" x14ac:dyDescent="0.2">
      <c r="A93" s="314" t="s">
        <v>299</v>
      </c>
      <c r="B93" s="315">
        <f>B75*0.03</f>
        <v>36291.441000000006</v>
      </c>
    </row>
    <row r="94" spans="1:26" x14ac:dyDescent="0.2">
      <c r="A94" s="314" t="s">
        <v>300</v>
      </c>
      <c r="B94" s="315">
        <v>0</v>
      </c>
    </row>
    <row r="95" spans="1:26" x14ac:dyDescent="0.2">
      <c r="A95" s="314" t="s">
        <v>301</v>
      </c>
      <c r="B95" s="316">
        <f>SUM(B92:B94)</f>
        <v>36291.441000000006</v>
      </c>
    </row>
  </sheetData>
  <mergeCells count="1">
    <mergeCell ref="B3:E3"/>
  </mergeCells>
  <printOptions horizontalCentered="1"/>
  <pageMargins left="0.25" right="0.25" top="0.42986111111111103" bottom="0.65972222222222199" header="0.51180555555555496" footer="0.51180555555555496"/>
  <pageSetup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Instructions</vt:lpstr>
      <vt:lpstr>Cover Page</vt:lpstr>
      <vt:lpstr>Page 1-Enrollment Plan</vt:lpstr>
      <vt:lpstr>Page 2-Staffing Plan</vt:lpstr>
      <vt:lpstr>Page 3-Assumptions</vt:lpstr>
      <vt:lpstr>Page 4-Current Year</vt:lpstr>
      <vt:lpstr>Page 5-Year 1</vt:lpstr>
      <vt:lpstr>Page 6-Year 2</vt:lpstr>
      <vt:lpstr>Page 7-Year 3</vt:lpstr>
      <vt:lpstr>Page 10-6 yr Budget-detail</vt:lpstr>
      <vt:lpstr>Page 11-6 yr Budget Summary</vt:lpstr>
      <vt:lpstr>Support-CDE start-up grant</vt:lpstr>
      <vt:lpstr>__FTE1</vt:lpstr>
      <vt:lpstr>__FTE2</vt:lpstr>
      <vt:lpstr>__fTE3</vt:lpstr>
      <vt:lpstr>'Page 11-6 yr Budget Summary'!_FTE1</vt:lpstr>
      <vt:lpstr>'Page 11-6 yr Budget Summary'!_FTE2</vt:lpstr>
      <vt:lpstr>'Page 11-6 yr Budget Summary'!_fTE3</vt:lpstr>
      <vt:lpstr>'Page 5-Year 1'!FPC</vt:lpstr>
      <vt:lpstr>'Page 6-Year 2'!FPC</vt:lpstr>
      <vt:lpstr>'Page 7-Year 3'!FPC</vt:lpstr>
      <vt:lpstr>FPC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 Deacon</dc:creator>
  <dc:description/>
  <cp:lastModifiedBy>Karger, Amanda</cp:lastModifiedBy>
  <cp:revision>50</cp:revision>
  <cp:lastPrinted>2018-07-30T03:23:41Z</cp:lastPrinted>
  <dcterms:created xsi:type="dcterms:W3CDTF">2018-06-14T22:12:17Z</dcterms:created>
  <dcterms:modified xsi:type="dcterms:W3CDTF">2021-01-26T16:48:36Z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