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Authorization\Applications\Renewal Applications\Renewal Resources\"/>
    </mc:Choice>
  </mc:AlternateContent>
  <bookViews>
    <workbookView xWindow="0" yWindow="0" windowWidth="20490" windowHeight="7755"/>
  </bookViews>
  <sheets>
    <sheet name="Instructions" sheetId="25" r:id="rId1"/>
    <sheet name="Enrollment Forecast" sheetId="22" r:id="rId2"/>
    <sheet name="Staffing Forecast" sheetId="19" r:id="rId3"/>
    <sheet name="Forecast Assumptions" sheetId="17" r:id="rId4"/>
    <sheet name="5 year forecast" sheetId="12" r:id="rId5"/>
  </sheets>
  <externalReferences>
    <externalReference r:id="rId6"/>
  </externalReferences>
  <definedNames>
    <definedName name="__FTE1">'5 year forecast'!$B$4</definedName>
    <definedName name="__FTE2">'5 year forecast'!$C$4</definedName>
    <definedName name="__fTE3">'5 year forecast'!$D$4</definedName>
    <definedName name="__FTE4">'5 year forecast'!$E$4</definedName>
    <definedName name="_FTE5">'[1]Budget Analysis'!$G$4</definedName>
    <definedName name="count">[1]budget!#REF!</definedName>
    <definedName name="FPC" localSheetId="4">'5 year forecast'!#REF!</definedName>
    <definedName name="FPC">#REF!</definedName>
    <definedName name="FTE">'[1]Budget Analysis'!#REF!</definedName>
    <definedName name="FTE0">'5 year forecast'!#REF!</definedName>
    <definedName name="GandT">[1]Assumptions!#REF!</definedName>
    <definedName name="objects">[1]Other!$D$1:$D$12</definedName>
    <definedName name="_xlnm.Print_Area" localSheetId="4">'5 year forecast'!$A$1:$G$104</definedName>
    <definedName name="_xlnm.Print_Area" localSheetId="2">'Staffing Forecast'!$A$1:$I$57</definedName>
    <definedName name="_xlnm.Print_Titles" localSheetId="4">'5 year forecast'!$1:$3</definedName>
    <definedName name="Projects">[1]Other!$A$5:$A$19</definedName>
    <definedName name="raise">[1]salaries!#REF!</definedName>
    <definedName name="TitleI">[1]Assumptions!#REF!</definedName>
  </definedNames>
  <calcPr calcId="152511"/>
</workbook>
</file>

<file path=xl/calcChain.xml><?xml version="1.0" encoding="utf-8"?>
<calcChain xmlns="http://schemas.openxmlformats.org/spreadsheetml/2006/main">
  <c r="F47" i="19" l="1"/>
  <c r="E47" i="19"/>
  <c r="D47" i="19"/>
  <c r="C47" i="19"/>
  <c r="B47" i="19"/>
  <c r="F30" i="19"/>
  <c r="E30" i="19"/>
  <c r="D30" i="19"/>
  <c r="C30" i="19"/>
  <c r="C51" i="19" s="1"/>
  <c r="B30" i="19"/>
  <c r="B51" i="19" s="1"/>
  <c r="B53" i="19" s="1"/>
  <c r="F51" i="19"/>
  <c r="E51" i="19"/>
  <c r="D51" i="19"/>
  <c r="F17" i="19"/>
  <c r="E17" i="19"/>
  <c r="D17" i="19"/>
  <c r="C17" i="19"/>
  <c r="B17" i="19"/>
  <c r="F17" i="17"/>
  <c r="E17" i="17"/>
  <c r="D17" i="17"/>
  <c r="C17" i="17"/>
  <c r="B17" i="17"/>
  <c r="B25" i="22" l="1"/>
  <c r="B6" i="17" l="1"/>
  <c r="F6" i="17"/>
  <c r="E6" i="17"/>
  <c r="D6" i="17"/>
  <c r="C6" i="17"/>
  <c r="D32" i="19" l="1"/>
  <c r="E32" i="19"/>
  <c r="F32" i="19"/>
  <c r="D5" i="19"/>
  <c r="E5" i="19"/>
  <c r="F5" i="19"/>
  <c r="C7" i="12"/>
  <c r="D7" i="12"/>
  <c r="E7" i="12"/>
  <c r="F7" i="12"/>
  <c r="C8" i="12"/>
  <c r="D8" i="12"/>
  <c r="E8" i="12"/>
  <c r="F8" i="12"/>
  <c r="B28" i="12"/>
  <c r="B15" i="17"/>
  <c r="B19" i="12" s="1"/>
  <c r="B7" i="12"/>
  <c r="B8" i="12"/>
  <c r="B102" i="12"/>
  <c r="F4" i="12"/>
  <c r="C3" i="12"/>
  <c r="D3" i="12"/>
  <c r="E3" i="12"/>
  <c r="F3" i="12"/>
  <c r="B3" i="12"/>
  <c r="C3" i="17"/>
  <c r="D3" i="17"/>
  <c r="E3" i="17"/>
  <c r="F3" i="17"/>
  <c r="B3" i="17"/>
  <c r="C4" i="19"/>
  <c r="D4" i="19"/>
  <c r="E4" i="19"/>
  <c r="F4" i="19"/>
  <c r="B4" i="19"/>
  <c r="B19" i="22"/>
  <c r="B32" i="19" s="1"/>
  <c r="C25" i="22"/>
  <c r="C4" i="12" s="1"/>
  <c r="D25" i="22"/>
  <c r="E25" i="22"/>
  <c r="F25" i="22"/>
  <c r="E4" i="12" l="1"/>
  <c r="D4" i="12"/>
  <c r="B5" i="19"/>
  <c r="B4" i="12"/>
  <c r="B27" i="12"/>
  <c r="B103" i="12" s="1"/>
  <c r="B19" i="17"/>
  <c r="B22" i="12" s="1"/>
  <c r="C19" i="17"/>
  <c r="C22" i="12" s="1"/>
  <c r="B8" i="17"/>
  <c r="B15" i="12" s="1"/>
  <c r="D19" i="17"/>
  <c r="D22" i="12" s="1"/>
  <c r="E19" i="17"/>
  <c r="E22" i="12" s="1"/>
  <c r="F19" i="17"/>
  <c r="F22" i="12" s="1"/>
  <c r="C8" i="17"/>
  <c r="C15" i="12" s="1"/>
  <c r="B5" i="17"/>
  <c r="B7" i="17"/>
  <c r="C7" i="17" s="1"/>
  <c r="D7" i="17" s="1"/>
  <c r="E7" i="17" s="1"/>
  <c r="F7" i="17" s="1"/>
  <c r="C23" i="17"/>
  <c r="D23" i="17"/>
  <c r="E23" i="17"/>
  <c r="F23" i="17"/>
  <c r="B23" i="17"/>
  <c r="D15" i="17"/>
  <c r="D19" i="12" s="1"/>
  <c r="E15" i="17"/>
  <c r="E19" i="12" s="1"/>
  <c r="F15" i="17"/>
  <c r="F19" i="12" s="1"/>
  <c r="C15" i="17"/>
  <c r="C19" i="12" s="1"/>
  <c r="F13" i="17"/>
  <c r="F17" i="12" s="1"/>
  <c r="E13" i="17"/>
  <c r="E17" i="12" s="1"/>
  <c r="D13" i="17"/>
  <c r="D17" i="12" s="1"/>
  <c r="C13" i="17"/>
  <c r="C17" i="12" s="1"/>
  <c r="B13" i="17"/>
  <c r="B17" i="12" s="1"/>
  <c r="C12" i="17"/>
  <c r="D10" i="17" s="1"/>
  <c r="D16" i="12" s="1"/>
  <c r="D12" i="17"/>
  <c r="E10" i="17" s="1"/>
  <c r="E16" i="12" s="1"/>
  <c r="E12" i="17"/>
  <c r="F10" i="17" s="1"/>
  <c r="F16" i="12" s="1"/>
  <c r="F12" i="17"/>
  <c r="B12" i="17"/>
  <c r="F8" i="17"/>
  <c r="F15" i="12" s="1"/>
  <c r="E8" i="17"/>
  <c r="E15" i="12" s="1"/>
  <c r="D8" i="17"/>
  <c r="D15" i="12" s="1"/>
  <c r="C4" i="17"/>
  <c r="B18" i="17" l="1"/>
  <c r="B21" i="12" s="1"/>
  <c r="B21" i="17"/>
  <c r="B24" i="12" s="1"/>
  <c r="E18" i="17"/>
  <c r="E21" i="12" s="1"/>
  <c r="E21" i="17"/>
  <c r="E24" i="12" s="1"/>
  <c r="D18" i="17"/>
  <c r="D21" i="12" s="1"/>
  <c r="D21" i="17"/>
  <c r="D24" i="12" s="1"/>
  <c r="C18" i="17"/>
  <c r="C21" i="12" s="1"/>
  <c r="C21" i="17"/>
  <c r="C24" i="12" s="1"/>
  <c r="F18" i="17"/>
  <c r="F21" i="12" s="1"/>
  <c r="F21" i="17"/>
  <c r="F24" i="12" s="1"/>
  <c r="C20" i="12"/>
  <c r="B20" i="12"/>
  <c r="F20" i="12"/>
  <c r="E20" i="12"/>
  <c r="D20" i="12"/>
  <c r="F92" i="12"/>
  <c r="D92" i="12"/>
  <c r="E92" i="12"/>
  <c r="C92" i="12"/>
  <c r="D4" i="17"/>
  <c r="C28" i="12"/>
  <c r="C27" i="12"/>
  <c r="B64" i="12"/>
  <c r="B63" i="12"/>
  <c r="B10" i="17"/>
  <c r="B16" i="12" s="1"/>
  <c r="C10" i="17"/>
  <c r="C16" i="12" s="1"/>
  <c r="B20" i="17"/>
  <c r="B23" i="12" s="1"/>
  <c r="C20" i="17"/>
  <c r="C23" i="12" s="1"/>
  <c r="C5" i="17"/>
  <c r="D20" i="17"/>
  <c r="D23" i="12" s="1"/>
  <c r="D5" i="17"/>
  <c r="E20" i="17"/>
  <c r="E23" i="12" s="1"/>
  <c r="F20" i="17"/>
  <c r="F23" i="12" s="1"/>
  <c r="B45" i="19"/>
  <c r="B52" i="19" s="1"/>
  <c r="F61" i="19"/>
  <c r="F60" i="19"/>
  <c r="E61" i="19"/>
  <c r="E99" i="12" s="1"/>
  <c r="E60" i="19"/>
  <c r="E98" i="12" s="1"/>
  <c r="D60" i="19"/>
  <c r="D61" i="19"/>
  <c r="C61" i="19"/>
  <c r="C60" i="19"/>
  <c r="F32" i="12"/>
  <c r="E32" i="12"/>
  <c r="D32" i="12"/>
  <c r="B32" i="12"/>
  <c r="B60" i="19"/>
  <c r="C19" i="22"/>
  <c r="D19" i="22"/>
  <c r="E19" i="22"/>
  <c r="F19" i="22"/>
  <c r="C15" i="19"/>
  <c r="C45" i="19"/>
  <c r="C52" i="19"/>
  <c r="D15" i="19"/>
  <c r="D45" i="19"/>
  <c r="D52" i="19"/>
  <c r="E15" i="19"/>
  <c r="E45" i="19"/>
  <c r="E52" i="19" s="1"/>
  <c r="F15" i="19"/>
  <c r="F50" i="19" s="1"/>
  <c r="F45" i="19"/>
  <c r="F52" i="19" s="1"/>
  <c r="B15" i="19"/>
  <c r="B50" i="19" s="1"/>
  <c r="B61" i="19"/>
  <c r="D50" i="19"/>
  <c r="B90" i="12" l="1"/>
  <c r="C90" i="12"/>
  <c r="F34" i="12"/>
  <c r="F35" i="12"/>
  <c r="C63" i="19"/>
  <c r="C32" i="12"/>
  <c r="D35" i="12"/>
  <c r="D34" i="12"/>
  <c r="E35" i="12"/>
  <c r="E34" i="12"/>
  <c r="E63" i="19"/>
  <c r="B35" i="12"/>
  <c r="B34" i="12"/>
  <c r="C64" i="12"/>
  <c r="C63" i="12"/>
  <c r="E4" i="17"/>
  <c r="D28" i="12"/>
  <c r="D27" i="12"/>
  <c r="C32" i="19"/>
  <c r="C5" i="19"/>
  <c r="D98" i="12"/>
  <c r="D53" i="19"/>
  <c r="F99" i="12"/>
  <c r="B63" i="19"/>
  <c r="F53" i="19"/>
  <c r="E50" i="19"/>
  <c r="E53" i="19" s="1"/>
  <c r="C50" i="19"/>
  <c r="C53" i="19" s="1"/>
  <c r="D102" i="12"/>
  <c r="D99" i="12"/>
  <c r="F98" i="12"/>
  <c r="C99" i="12"/>
  <c r="C98" i="12"/>
  <c r="D63" i="19"/>
  <c r="F63" i="19"/>
  <c r="B98" i="12"/>
  <c r="B99" i="12"/>
  <c r="C102" i="12"/>
  <c r="C103" i="12" s="1"/>
  <c r="F102" i="12"/>
  <c r="E102" i="12"/>
  <c r="D90" i="12" l="1"/>
  <c r="C35" i="12"/>
  <c r="C34" i="12"/>
  <c r="D103" i="12"/>
  <c r="D63" i="12"/>
  <c r="D64" i="12"/>
  <c r="F4" i="17"/>
  <c r="E28" i="12"/>
  <c r="E27" i="12"/>
  <c r="E5" i="17"/>
  <c r="F55" i="19"/>
  <c r="E56" i="19"/>
  <c r="D55" i="19"/>
  <c r="D56" i="19"/>
  <c r="E90" i="12" l="1"/>
  <c r="E103" i="12"/>
  <c r="E63" i="12"/>
  <c r="E64" i="12"/>
  <c r="F5" i="17"/>
  <c r="F27" i="12"/>
  <c r="F28" i="12"/>
  <c r="F56" i="19"/>
  <c r="B56" i="19"/>
  <c r="B55" i="19"/>
  <c r="E55" i="19"/>
  <c r="B29" i="12"/>
  <c r="E29" i="12"/>
  <c r="C55" i="19"/>
  <c r="C56" i="19"/>
  <c r="B77" i="12"/>
  <c r="F90" i="12" l="1"/>
  <c r="F103" i="12"/>
  <c r="F64" i="12"/>
  <c r="F63" i="12"/>
  <c r="F29" i="12"/>
  <c r="D29" i="12"/>
  <c r="C77" i="12"/>
  <c r="B79" i="12"/>
  <c r="B89" i="12" s="1"/>
  <c r="B93" i="12" s="1"/>
  <c r="B100" i="12"/>
  <c r="B85" i="12" l="1"/>
  <c r="C100" i="12"/>
  <c r="C29" i="12"/>
  <c r="C79" i="12" s="1"/>
  <c r="C85" i="12" s="1"/>
  <c r="F77" i="12"/>
  <c r="B94" i="12" l="1"/>
  <c r="C87" i="12"/>
  <c r="C89" i="12" s="1"/>
  <c r="C93" i="12" s="1"/>
  <c r="D77" i="12"/>
  <c r="E77" i="12"/>
  <c r="F100" i="12"/>
  <c r="F79" i="12"/>
  <c r="D87" i="12" l="1"/>
  <c r="C94" i="12"/>
  <c r="D100" i="12"/>
  <c r="D79" i="12"/>
  <c r="D85" i="12" s="1"/>
  <c r="E100" i="12"/>
  <c r="E79" i="12"/>
  <c r="F85" i="12"/>
  <c r="D89" i="12" l="1"/>
  <c r="D93" i="12" s="1"/>
  <c r="E85" i="12"/>
  <c r="D94" i="12" l="1"/>
  <c r="E87" i="12"/>
  <c r="E89" i="12" s="1"/>
  <c r="E93" i="12" s="1"/>
  <c r="E94" i="12" l="1"/>
  <c r="F87" i="12"/>
  <c r="F89" i="12" s="1"/>
  <c r="F93" i="12" l="1"/>
  <c r="F94" i="12" s="1"/>
</calcChain>
</file>

<file path=xl/comments1.xml><?xml version="1.0" encoding="utf-8"?>
<comments xmlns="http://schemas.openxmlformats.org/spreadsheetml/2006/main">
  <authors>
    <author>Karger, Amanda</author>
  </authors>
  <commentList>
    <comment ref="A92" authorId="0" shapeId="0">
      <text>
        <r>
          <rPr>
            <b/>
            <sz val="9"/>
            <color indexed="81"/>
            <rFont val="Tahoma"/>
            <charset val="1"/>
          </rPr>
          <t>Karger, Amanda:</t>
        </r>
        <r>
          <rPr>
            <sz val="9"/>
            <color indexed="81"/>
            <rFont val="Tahoma"/>
            <charset val="1"/>
          </rPr>
          <t xml:space="preserve">
First year required is FY 19-20</t>
        </r>
      </text>
    </comment>
  </commentList>
</comments>
</file>

<file path=xl/sharedStrings.xml><?xml version="1.0" encoding="utf-8"?>
<sst xmlns="http://schemas.openxmlformats.org/spreadsheetml/2006/main" count="243" uniqueCount="212">
  <si>
    <t>1000 · Foundation revenue</t>
  </si>
  <si>
    <t>1510 · Interest on investments</t>
  </si>
  <si>
    <t>1700 · Pupil activities</t>
  </si>
  <si>
    <t>1740 · Fees</t>
  </si>
  <si>
    <t>1920 · Contributions and donations</t>
  </si>
  <si>
    <t>3113 · Capital construction</t>
  </si>
  <si>
    <t>0221 · Medicare</t>
  </si>
  <si>
    <t>0250 · Health insurance</t>
  </si>
  <si>
    <t>0251 · Dental insurance</t>
  </si>
  <si>
    <t>0290 · Other Employee Benefits</t>
  </si>
  <si>
    <t>0320 · Professional-education services</t>
  </si>
  <si>
    <t>0331 · Legal services</t>
  </si>
  <si>
    <t>0332 · Audit &amp; accounting services</t>
  </si>
  <si>
    <t>0334 · Consultant services</t>
  </si>
  <si>
    <t>0340 · Technical services</t>
  </si>
  <si>
    <t>0423 · Custodial services</t>
  </si>
  <si>
    <t>0430 · Repairs and maintenance service</t>
  </si>
  <si>
    <t>0441 · Rental of land and buildings</t>
  </si>
  <si>
    <t>0442 · Rental of Equipment</t>
  </si>
  <si>
    <t>0525 · Unemployment insurance</t>
  </si>
  <si>
    <t>0526 · Workers' Comp insurance</t>
  </si>
  <si>
    <t>0531 · Telephone/fax</t>
  </si>
  <si>
    <t>0533 · Postage</t>
  </si>
  <si>
    <t>0580 · Travel, registration, entrance</t>
  </si>
  <si>
    <t>0610 · General supplies</t>
  </si>
  <si>
    <t>0611 · Office supplies</t>
  </si>
  <si>
    <t>0640 · Books and periodicals</t>
  </si>
  <si>
    <t>0650 · Electronic media materials</t>
  </si>
  <si>
    <t>0733 · Furniture and fixtures</t>
  </si>
  <si>
    <t>0735 · Non-capital equipment</t>
  </si>
  <si>
    <t>0810 · Dues and fees</t>
  </si>
  <si>
    <t>0851 · Transportation/field trips</t>
  </si>
  <si>
    <t>0890 · Miscellaneous expenditures</t>
  </si>
  <si>
    <t>Medicare</t>
  </si>
  <si>
    <t>REVENUE</t>
  </si>
  <si>
    <t>TOTAL REVENUE</t>
  </si>
  <si>
    <t>EXPENSE</t>
  </si>
  <si>
    <t>TOTAL EXPENSE</t>
  </si>
  <si>
    <t>0630 · Food &amp; meeting expenses</t>
  </si>
  <si>
    <t>0540 · Advertising, Marketing &amp; Recruiting</t>
  </si>
  <si>
    <t>0840 · Contingency</t>
  </si>
  <si>
    <t>SURPLUS/(SHORTFALL)</t>
  </si>
  <si>
    <t>ASSUMPTIONS</t>
  </si>
  <si>
    <t>AVG Annual Salary</t>
  </si>
  <si>
    <t>ADMIN &amp; SUPPORT</t>
  </si>
  <si>
    <t>Total # Teachers</t>
  </si>
  <si>
    <t>Total # Admin &amp; Support</t>
  </si>
  <si>
    <t>Total Staff</t>
  </si>
  <si>
    <t>Student/teacher ratio</t>
  </si>
  <si>
    <t>Student/staff ratio</t>
  </si>
  <si>
    <t>Funded Pupil Count</t>
  </si>
  <si>
    <t xml:space="preserve"> </t>
  </si>
  <si>
    <t>TOTAL SALARIES</t>
  </si>
  <si>
    <t xml:space="preserve">     Total Admin &amp; Support</t>
  </si>
  <si>
    <t>NET OPERATING INCOME</t>
  </si>
  <si>
    <t>0120 · Salaries of temporary employees-subs</t>
  </si>
  <si>
    <t>increase/yr</t>
  </si>
  <si>
    <t>0100 · Salaries of Regular Employees</t>
  </si>
  <si>
    <t>Beginning Fund Balance</t>
  </si>
  <si>
    <t>Ending Fund Balance</t>
  </si>
  <si>
    <t>Unrestricted Fund Bal as % of Total Expenses</t>
  </si>
  <si>
    <t>Projected FRL %</t>
  </si>
  <si>
    <t>0313 · Banking &amp; Payroll Service Fees</t>
  </si>
  <si>
    <t>Kindergarten half-day tuition (annual)</t>
  </si>
  <si>
    <t>ENROLLMENT PLAN</t>
  </si>
  <si>
    <t>STAFFING PLAN</t>
  </si>
  <si>
    <t>5710 · Per pupil funding (100%)</t>
  </si>
  <si>
    <t>STIPENDS/ADDITIONAL PAY</t>
  </si>
  <si>
    <t>Note: may be overstated for multi-yr due to turnover/changes</t>
  </si>
  <si>
    <t>PERA-based on calendar yr</t>
  </si>
  <si>
    <t>Projected ELL %</t>
  </si>
  <si>
    <t>Salary %</t>
  </si>
  <si>
    <t>Total variances</t>
  </si>
  <si>
    <t>Total Instructional</t>
  </si>
  <si>
    <t>Total Admin</t>
  </si>
  <si>
    <t>Facility Costs</t>
  </si>
  <si>
    <t>OTHER SOURCES/(USES) OF FUNDS</t>
  </si>
  <si>
    <t>Notes:  Enter position title, # of positions, average salary</t>
  </si>
  <si>
    <t>Sample teacher</t>
  </si>
  <si>
    <t>Sample Administrator</t>
  </si>
  <si>
    <t>4010 · Title I</t>
  </si>
  <si>
    <t>4365 · Title III</t>
  </si>
  <si>
    <t>5282 · Charter school grant</t>
  </si>
  <si>
    <t>3150 · Gifted &amp; Talented</t>
  </si>
  <si>
    <t>0230 · PERA expense</t>
  </si>
  <si>
    <t>0300A · Other Services - Assessments</t>
  </si>
  <si>
    <t>0721 · Leasehold improvements</t>
  </si>
  <si>
    <t>0595B · CDE Admin expense</t>
  </si>
  <si>
    <t>0595A · CSI Admin expense</t>
  </si>
  <si>
    <t>0300 · Prof services-food svcs</t>
  </si>
  <si>
    <t>1600 · Food service revenue</t>
  </si>
  <si>
    <t>3161 · State child nutrition reimb</t>
  </si>
  <si>
    <t>4555 · Fed lunch reimb</t>
  </si>
  <si>
    <t>CSI Admin expense</t>
  </si>
  <si>
    <t>CDE Admin expense</t>
  </si>
  <si>
    <t>INSTRUCTIONAL STAFF</t>
  </si>
  <si>
    <t xml:space="preserve">     Total Instructional Staff</t>
  </si>
  <si>
    <t>0410 · Utility services</t>
  </si>
  <si>
    <t>Variance</t>
  </si>
  <si>
    <t>Fill in blank cells with additional revenue and expenditures.</t>
  </si>
  <si>
    <t>Instructions</t>
  </si>
  <si>
    <t>3130 · ECEA</t>
  </si>
  <si>
    <t>4027 · IDEA</t>
  </si>
  <si>
    <t>3130 · Exceptional Children's Ed Act (ECEA)</t>
  </si>
  <si>
    <t>4027 · Special Ed (IDEA)</t>
  </si>
  <si>
    <t>3140 · English language proficiency act (ELPA)</t>
  </si>
  <si>
    <t>3140 · English Language Proficiency Act (ELPA)</t>
  </si>
  <si>
    <t>Notes</t>
  </si>
  <si>
    <t>Recommendations</t>
  </si>
  <si>
    <t>0520 · Insurance</t>
  </si>
  <si>
    <t>Units (what to enter)</t>
  </si>
  <si>
    <t>Estimated Annual tuition</t>
  </si>
  <si>
    <t>Enter Geographic District PPR in each cell, plus change assumptions. 
See past year PPR funding information for geographical district here: http://www.cde.state.co.us/cdefinance/sfdetails</t>
  </si>
  <si>
    <t>per elible sped student</t>
  </si>
  <si>
    <t>5810 · CPP Funding</t>
  </si>
  <si>
    <t>CPP Slots Requested</t>
  </si>
  <si>
    <t>Enter Per Pupil amount for Cap Construction each year. 
Expected to decrease annually by 1%
(FPC)</t>
  </si>
  <si>
    <t>TBD based on CDE worksheet</t>
  </si>
  <si>
    <t>Per CPP Slot</t>
  </si>
  <si>
    <t>Colorado Preschool Project Slots the school is planning on requesting; 
Not Eligible in Year 1</t>
  </si>
  <si>
    <t>Per funded pupil count</t>
  </si>
  <si>
    <t>3206 - READ Act</t>
  </si>
  <si>
    <t xml:space="preserve">50% PPR </t>
  </si>
  <si>
    <t>Per SRD pupil</t>
  </si>
  <si>
    <t>Number of Estimated SRD Pupils</t>
  </si>
  <si>
    <t>Total Estimated Annual Funding, based on PY pupil count 
Expected 2% decrease annually</t>
  </si>
  <si>
    <t>Number of estimated eligible SPED Students</t>
  </si>
  <si>
    <t>Projected ELL Students</t>
  </si>
  <si>
    <t>Auto Calc</t>
  </si>
  <si>
    <t>Projected ELL students as % of total Students</t>
  </si>
  <si>
    <t>per pupil</t>
  </si>
  <si>
    <t>Projected GT Students</t>
  </si>
  <si>
    <t>Projected SRD Pupils</t>
  </si>
  <si>
    <t>Per FRL pupil</t>
  </si>
  <si>
    <t>Projected K-12 FRL Students</t>
  </si>
  <si>
    <t>Per eligible SPED student</t>
  </si>
  <si>
    <t>Per ELL Pupil</t>
  </si>
  <si>
    <t>Projected Free and Reduced Lunch Rate</t>
  </si>
  <si>
    <t>3113 · Capital construction - Per Pupil</t>
  </si>
  <si>
    <t>ECEA/IDEA Eligible Student Count</t>
  </si>
  <si>
    <t>1300B · Kindergarten tuition revenue</t>
  </si>
  <si>
    <t>5810 · CPP funding</t>
  </si>
  <si>
    <t>1300A · Preschool tuition revenue</t>
  </si>
  <si>
    <t>Preschool tuition (annual)</t>
  </si>
  <si>
    <t>Total CPP/ECARE Slots</t>
  </si>
  <si>
    <t>Total PreK receiving SPED services</t>
  </si>
  <si>
    <t>Total Est Funded Pupil Count</t>
  </si>
  <si>
    <t>KG Head Count</t>
  </si>
  <si>
    <t>PreK Head Count</t>
  </si>
  <si>
    <t>1st Grade FTE</t>
  </si>
  <si>
    <t>Total</t>
  </si>
  <si>
    <t>2nd Grade FTE</t>
  </si>
  <si>
    <t>3rd Grade FTE</t>
  </si>
  <si>
    <t>4th Grade FTE</t>
  </si>
  <si>
    <t>5th Grade FTE</t>
  </si>
  <si>
    <t>6th Grade FTE</t>
  </si>
  <si>
    <t>8th Grade FTE</t>
  </si>
  <si>
    <t>9th Grade FTE</t>
  </si>
  <si>
    <t>10th Grade FTE</t>
  </si>
  <si>
    <t>11th Grade FTE</t>
  </si>
  <si>
    <t>12th Grade FTE</t>
  </si>
  <si>
    <t>7th Grade FTE</t>
  </si>
  <si>
    <t>FY 2018-19</t>
  </si>
  <si>
    <t>FY 2019-20</t>
  </si>
  <si>
    <t>FY 2020-21</t>
  </si>
  <si>
    <t>FY 2021-22</t>
  </si>
  <si>
    <t>Number of Student FTE Per Year</t>
  </si>
  <si>
    <t>$134.20 NEP/LEP; $102.7 per FEP
Total Estimated Annual Funding, based on PY pupil count; Expected 2% decrease annually</t>
  </si>
  <si>
    <t>$820 per eligible SRD Pupil</t>
  </si>
  <si>
    <t>5 Year Forecast</t>
  </si>
  <si>
    <r>
      <t xml:space="preserve">On the </t>
    </r>
    <r>
      <rPr>
        <sz val="12"/>
        <color theme="9"/>
        <rFont val="Calibri"/>
        <family val="2"/>
        <scheme val="minor"/>
      </rPr>
      <t>"Staffing Forecast" tab</t>
    </r>
    <r>
      <rPr>
        <sz val="12"/>
        <rFont val="Calibri"/>
        <family val="2"/>
        <scheme val="minor"/>
      </rPr>
      <t>,</t>
    </r>
    <r>
      <rPr>
        <sz val="12"/>
        <rFont val="Calibri"/>
        <family val="2"/>
      </rPr>
      <t xml:space="preserve"> enter position titles in column A under Instructional Staff and Admin &amp; Support.</t>
    </r>
  </si>
  <si>
    <r>
      <t xml:space="preserve">On the </t>
    </r>
    <r>
      <rPr>
        <sz val="12"/>
        <color theme="9"/>
        <rFont val="Calibri"/>
        <family val="2"/>
        <scheme val="minor"/>
      </rPr>
      <t>"</t>
    </r>
    <r>
      <rPr>
        <sz val="12"/>
        <color theme="9"/>
        <rFont val="Calibri"/>
        <family val="2"/>
      </rPr>
      <t>Enrollment Forecast" Tab</t>
    </r>
    <r>
      <rPr>
        <sz val="12"/>
        <rFont val="Calibri"/>
        <family val="2"/>
      </rPr>
      <t xml:space="preserve">, fill in cells with the applicant's estimated enrollment in years 1-5. </t>
    </r>
  </si>
  <si>
    <t>Enter the corresponding FTE in columns B through F.</t>
  </si>
  <si>
    <t>Enter the corresponding average position salary in column H.</t>
  </si>
  <si>
    <t>Enter Stipends/Additional Pay information as needed. For example, 5 stipends (FTE columns) @ $5,000 (column H)</t>
  </si>
  <si>
    <t>In cell H32, enter the cost of living/annual compensation percentage increase assumption.</t>
  </si>
  <si>
    <t>Student to teacher and student to staff ratios are calculated automatically at the bottom of the staffing forecast tab.</t>
  </si>
  <si>
    <r>
      <t>On t</t>
    </r>
    <r>
      <rPr>
        <sz val="12"/>
        <rFont val="Calibri"/>
        <family val="2"/>
      </rPr>
      <t>he</t>
    </r>
    <r>
      <rPr>
        <sz val="12"/>
        <color indexed="53"/>
        <rFont val="Calibri"/>
        <family val="2"/>
      </rPr>
      <t xml:space="preserve"> </t>
    </r>
    <r>
      <rPr>
        <sz val="12"/>
        <color theme="9"/>
        <rFont val="Calibri"/>
        <family val="2"/>
      </rPr>
      <t>"Forecast Assumptions" tab</t>
    </r>
    <r>
      <rPr>
        <sz val="12"/>
        <rFont val="Calibri"/>
        <family val="2"/>
      </rPr>
      <t xml:space="preserve">, fill in white cells </t>
    </r>
  </si>
  <si>
    <r>
      <t xml:space="preserve">On </t>
    </r>
    <r>
      <rPr>
        <sz val="12"/>
        <rFont val="Calibri"/>
        <family val="2"/>
      </rPr>
      <t>the</t>
    </r>
    <r>
      <rPr>
        <sz val="12"/>
        <color indexed="53"/>
        <rFont val="Calibri"/>
        <family val="2"/>
      </rPr>
      <t xml:space="preserve"> </t>
    </r>
    <r>
      <rPr>
        <sz val="12"/>
        <color theme="9"/>
        <rFont val="Calibri"/>
        <family val="2"/>
      </rPr>
      <t>"5 year forecast" tab</t>
    </r>
    <r>
      <rPr>
        <sz val="12"/>
        <color indexed="53"/>
        <rFont val="Calibri"/>
        <family val="2"/>
      </rPr>
      <t xml:space="preserve">, </t>
    </r>
    <r>
      <rPr>
        <sz val="12"/>
        <rFont val="Calibri"/>
        <family val="2"/>
      </rPr>
      <t>many cells will be automatically populated from the inputs on other tabs</t>
    </r>
  </si>
  <si>
    <t>Add notes and additional assumptions to column H.</t>
  </si>
  <si>
    <t xml:space="preserve">The forecast should Governmental Funds and reflect all statutory requirements including but not limited to:  
1. Public Employees’ Retirement Association (PERA) contributions 
2. 3% TABOR reserve (Colorado Constitution Article X, Section 20)
3. Positive Ending Unassigned Fund Balance
</t>
  </si>
  <si>
    <t>FY 2022-23</t>
  </si>
  <si>
    <t>Autofilled from enrollment tab</t>
  </si>
  <si>
    <t>Restricted - TABOR RESERVE</t>
  </si>
  <si>
    <t>Committed - Board Designated</t>
  </si>
  <si>
    <t>Assigned - SPED reserve</t>
  </si>
  <si>
    <t>Other Uses (please specify)</t>
  </si>
  <si>
    <t>Other Sources (please specify)</t>
  </si>
  <si>
    <t>Unassigned</t>
  </si>
  <si>
    <t>% of PPR</t>
  </si>
  <si>
    <t>3241 - Mill Levy Equalization Funds</t>
  </si>
  <si>
    <t>This is subject to change each year depending on state budgeted amounts</t>
  </si>
  <si>
    <t>per funded pupil count</t>
  </si>
  <si>
    <t>SPED, GT, ELL STAFF (SPECIFY)</t>
  </si>
  <si>
    <t>Sample SPED Provider</t>
  </si>
  <si>
    <t>Sample ELL teacher</t>
  </si>
  <si>
    <t>Sample ELL Coordinator</t>
  </si>
  <si>
    <t>Sample GT Coordinator</t>
  </si>
  <si>
    <t xml:space="preserve">     Total Special Population Staff</t>
  </si>
  <si>
    <t>Sample Operations Administrator</t>
  </si>
  <si>
    <t>Total # of Special Population Staff</t>
  </si>
  <si>
    <t>0320B · Professional-education services - GT</t>
  </si>
  <si>
    <t>0320B · Professional-education services - SPED</t>
  </si>
  <si>
    <t>0320B · Professional-education services - 504</t>
  </si>
  <si>
    <t>0320B · Professional-education services - ELL</t>
  </si>
  <si>
    <t>Ensure any "other sources or uses" (rows 81-82) of funds are labeled</t>
  </si>
  <si>
    <t xml:space="preserve">Carefully review the entire workbook to ensure accuracy and completeness, including ensuring staffing and contracting are at adequate levels to meet the needs of special special populations. </t>
  </si>
  <si>
    <t>$500 + $196.00 - Eligible pupil
Total Estimated Annual Funding, based on PY pupil count 
Expected 2% decrease annually</t>
  </si>
  <si>
    <t>$115.50 NEP/LEP; $332 per FEP
Total Estimated Annual Funding, based on PY pupil count 
Expected 2% decrease annually</t>
  </si>
  <si>
    <t>$62.11 Per FR Pupil or $1,500 (higher of the two)</t>
  </si>
  <si>
    <t>4367 - Title IIA</t>
  </si>
  <si>
    <t>4367 - Title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</si>
</sst>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&quot;$&quot;#,##0.00"/>
  </numFmts>
  <fonts count="6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4"/>
      <name val="Calibri"/>
      <family val="2"/>
    </font>
    <font>
      <sz val="8"/>
      <name val="Calibri"/>
      <family val="2"/>
    </font>
    <font>
      <b/>
      <i/>
      <sz val="10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i/>
      <sz val="10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sz val="12"/>
      <name val="Calibri"/>
      <family val="2"/>
    </font>
    <font>
      <sz val="10"/>
      <color indexed="17"/>
      <name val="Calibri"/>
      <family val="2"/>
    </font>
    <font>
      <sz val="10"/>
      <color indexed="30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b/>
      <i/>
      <sz val="8"/>
      <name val="Calibri"/>
      <family val="2"/>
    </font>
    <font>
      <i/>
      <sz val="8"/>
      <name val="Calibri"/>
      <family val="2"/>
    </font>
    <font>
      <sz val="12"/>
      <color indexed="53"/>
      <name val="Calibri"/>
      <family val="2"/>
    </font>
    <font>
      <sz val="10"/>
      <color rgb="FF0070C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color theme="9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0070C0"/>
      <name val="Calibri"/>
      <family val="2"/>
    </font>
    <font>
      <sz val="10"/>
      <color theme="3" tint="0.39997558519241921"/>
      <name val="Calibri"/>
      <family val="2"/>
    </font>
    <font>
      <b/>
      <sz val="10"/>
      <color theme="1"/>
      <name val="Calibri"/>
      <family val="2"/>
    </font>
    <font>
      <sz val="12"/>
      <color theme="9"/>
      <name val="Calibri"/>
      <family val="2"/>
      <scheme val="minor"/>
    </font>
    <font>
      <sz val="12"/>
      <color theme="9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2" fillId="20" borderId="1">
      <alignment horizontal="left"/>
    </xf>
    <xf numFmtId="0" fontId="2" fillId="20" borderId="2">
      <alignment horizontal="left"/>
    </xf>
    <xf numFmtId="0" fontId="2" fillId="20" borderId="3">
      <alignment horizontal="left"/>
    </xf>
    <xf numFmtId="44" fontId="2" fillId="0" borderId="0" applyFont="0" applyFill="0" applyBorder="0" applyAlignment="0" applyProtection="0"/>
    <xf numFmtId="14" fontId="2" fillId="0" borderId="0" applyFont="0" applyFill="0" applyBorder="0" applyProtection="0">
      <alignment horizontal="left"/>
    </xf>
    <xf numFmtId="0" fontId="6" fillId="0" borderId="1">
      <alignment horizontal="left"/>
    </xf>
    <xf numFmtId="2" fontId="2" fillId="0" borderId="0" applyFill="0" applyProtection="0"/>
    <xf numFmtId="0" fontId="6" fillId="20" borderId="4">
      <alignment horizontal="left"/>
    </xf>
    <xf numFmtId="0" fontId="6" fillId="20" borderId="5">
      <alignment horizontal="left"/>
    </xf>
    <xf numFmtId="49" fontId="2" fillId="0" borderId="6" applyFont="0" applyFill="0" applyBorder="0" applyAlignment="0" applyProtection="0">
      <alignment horizontal="right"/>
    </xf>
    <xf numFmtId="0" fontId="2" fillId="0" borderId="0">
      <alignment horizontal="left"/>
    </xf>
    <xf numFmtId="0" fontId="6" fillId="20" borderId="7">
      <alignment horizontal="left"/>
    </xf>
    <xf numFmtId="0" fontId="2" fillId="0" borderId="1">
      <alignment horizontal="left"/>
    </xf>
    <xf numFmtId="0" fontId="6" fillId="20" borderId="8">
      <alignment horizontal="left"/>
    </xf>
    <xf numFmtId="0" fontId="6" fillId="20" borderId="9">
      <alignment horizontal="left"/>
    </xf>
    <xf numFmtId="0" fontId="6" fillId="20" borderId="10">
      <alignment horizontal="left"/>
    </xf>
    <xf numFmtId="0" fontId="2" fillId="0" borderId="6">
      <alignment horizontal="right"/>
    </xf>
    <xf numFmtId="0" fontId="7" fillId="3" borderId="0" applyNumberFormat="0" applyBorder="0" applyAlignment="0" applyProtection="0"/>
    <xf numFmtId="0" fontId="8" fillId="21" borderId="11" applyNumberFormat="0" applyAlignment="0" applyProtection="0"/>
    <xf numFmtId="0" fontId="9" fillId="22" borderId="1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1" applyNumberFormat="0" applyAlignment="0" applyProtection="0"/>
    <xf numFmtId="0" fontId="16" fillId="0" borderId="16" applyNumberFormat="0" applyFill="0" applyAlignment="0" applyProtection="0"/>
    <xf numFmtId="0" fontId="17" fillId="23" borderId="0" applyNumberFormat="0" applyBorder="0" applyAlignment="0" applyProtection="0"/>
    <xf numFmtId="0" fontId="1" fillId="24" borderId="17" applyNumberFormat="0" applyFont="0" applyAlignment="0" applyProtection="0"/>
    <xf numFmtId="0" fontId="18" fillId="21" borderId="1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0" borderId="0" applyNumberFormat="0" applyFill="0" applyBorder="0" applyAlignment="0" applyProtection="0"/>
  </cellStyleXfs>
  <cellXfs count="214">
    <xf numFmtId="0" fontId="0" fillId="0" borderId="0" xfId="0"/>
    <xf numFmtId="0" fontId="22" fillId="0" borderId="0" xfId="0" applyFont="1" applyBorder="1"/>
    <xf numFmtId="0" fontId="22" fillId="0" borderId="0" xfId="0" applyFont="1"/>
    <xf numFmtId="0" fontId="22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0" fontId="22" fillId="0" borderId="5" xfId="0" applyFont="1" applyBorder="1"/>
    <xf numFmtId="0" fontId="22" fillId="0" borderId="22" xfId="0" applyFont="1" applyBorder="1"/>
    <xf numFmtId="0" fontId="23" fillId="0" borderId="0" xfId="0" applyFont="1" applyAlignment="1">
      <alignment horizontal="center"/>
    </xf>
    <xf numFmtId="0" fontId="23" fillId="25" borderId="20" xfId="0" applyFont="1" applyFill="1" applyBorder="1" applyAlignment="1">
      <alignment horizontal="center"/>
    </xf>
    <xf numFmtId="0" fontId="22" fillId="25" borderId="0" xfId="0" applyFont="1" applyFill="1" applyBorder="1"/>
    <xf numFmtId="0" fontId="23" fillId="25" borderId="0" xfId="0" applyFont="1" applyFill="1" applyBorder="1"/>
    <xf numFmtId="3" fontId="22" fillId="25" borderId="0" xfId="0" applyNumberFormat="1" applyFont="1" applyFill="1" applyBorder="1"/>
    <xf numFmtId="5" fontId="22" fillId="25" borderId="0" xfId="0" applyNumberFormat="1" applyFont="1" applyFill="1" applyBorder="1"/>
    <xf numFmtId="5" fontId="23" fillId="25" borderId="0" xfId="0" applyNumberFormat="1" applyFont="1" applyFill="1" applyBorder="1"/>
    <xf numFmtId="164" fontId="22" fillId="25" borderId="0" xfId="0" applyNumberFormat="1" applyFont="1" applyFill="1" applyBorder="1" applyAlignment="1">
      <alignment horizontal="center"/>
    </xf>
    <xf numFmtId="0" fontId="22" fillId="0" borderId="0" xfId="0" applyFont="1" applyBorder="1" applyProtection="1"/>
    <xf numFmtId="0" fontId="25" fillId="25" borderId="25" xfId="0" applyNumberFormat="1" applyFont="1" applyFill="1" applyBorder="1" applyProtection="1"/>
    <xf numFmtId="0" fontId="22" fillId="25" borderId="0" xfId="0" applyFont="1" applyFill="1" applyBorder="1" applyProtection="1"/>
    <xf numFmtId="0" fontId="22" fillId="25" borderId="23" xfId="0" applyFont="1" applyFill="1" applyBorder="1" applyProtection="1"/>
    <xf numFmtId="0" fontId="28" fillId="25" borderId="25" xfId="0" applyNumberFormat="1" applyFont="1" applyFill="1" applyBorder="1" applyAlignment="1" applyProtection="1">
      <alignment horizontal="left"/>
    </xf>
    <xf numFmtId="5" fontId="26" fillId="20" borderId="20" xfId="0" applyNumberFormat="1" applyFont="1" applyFill="1" applyBorder="1" applyAlignment="1" applyProtection="1">
      <alignment horizontal="center" vertical="center" wrapText="1"/>
    </xf>
    <xf numFmtId="0" fontId="26" fillId="25" borderId="23" xfId="0" applyFont="1" applyFill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37" fontId="26" fillId="20" borderId="20" xfId="0" applyNumberFormat="1" applyFont="1" applyFill="1" applyBorder="1" applyAlignment="1" applyProtection="1">
      <alignment horizontal="center" vertical="center" wrapText="1"/>
    </xf>
    <xf numFmtId="5" fontId="26" fillId="25" borderId="21" xfId="0" applyNumberFormat="1" applyFont="1" applyFill="1" applyBorder="1" applyAlignment="1" applyProtection="1">
      <alignment horizontal="center" vertical="center" wrapText="1"/>
    </xf>
    <xf numFmtId="5" fontId="26" fillId="25" borderId="29" xfId="0" applyNumberFormat="1" applyFont="1" applyFill="1" applyBorder="1" applyAlignment="1" applyProtection="1">
      <alignment horizontal="center" vertical="center" wrapText="1"/>
    </xf>
    <xf numFmtId="0" fontId="30" fillId="25" borderId="25" xfId="0" applyNumberFormat="1" applyFont="1" applyFill="1" applyBorder="1" applyAlignment="1" applyProtection="1">
      <alignment horizontal="left" indent="1"/>
    </xf>
    <xf numFmtId="0" fontId="26" fillId="25" borderId="23" xfId="0" applyFont="1" applyFill="1" applyBorder="1" applyProtection="1"/>
    <xf numFmtId="0" fontId="26" fillId="0" borderId="0" xfId="0" applyFont="1" applyBorder="1" applyProtection="1"/>
    <xf numFmtId="41" fontId="26" fillId="25" borderId="21" xfId="0" applyNumberFormat="1" applyFont="1" applyFill="1" applyBorder="1" applyProtection="1"/>
    <xf numFmtId="0" fontId="26" fillId="0" borderId="0" xfId="0" applyFont="1" applyFill="1" applyBorder="1" applyProtection="1"/>
    <xf numFmtId="0" fontId="31" fillId="25" borderId="25" xfId="0" applyNumberFormat="1" applyFont="1" applyFill="1" applyBorder="1" applyProtection="1"/>
    <xf numFmtId="0" fontId="30" fillId="25" borderId="25" xfId="0" applyNumberFormat="1" applyFont="1" applyFill="1" applyBorder="1" applyProtection="1"/>
    <xf numFmtId="0" fontId="31" fillId="25" borderId="25" xfId="0" applyNumberFormat="1" applyFont="1" applyFill="1" applyBorder="1" applyAlignment="1" applyProtection="1"/>
    <xf numFmtId="0" fontId="26" fillId="25" borderId="25" xfId="0" applyNumberFormat="1" applyFont="1" applyFill="1" applyBorder="1" applyAlignment="1" applyProtection="1"/>
    <xf numFmtId="0" fontId="28" fillId="25" borderId="25" xfId="0" applyNumberFormat="1" applyFont="1" applyFill="1" applyBorder="1" applyAlignment="1" applyProtection="1"/>
    <xf numFmtId="41" fontId="26" fillId="25" borderId="28" xfId="0" applyNumberFormat="1" applyFont="1" applyFill="1" applyBorder="1" applyProtection="1"/>
    <xf numFmtId="0" fontId="22" fillId="25" borderId="25" xfId="0" applyNumberFormat="1" applyFont="1" applyFill="1" applyBorder="1" applyProtection="1"/>
    <xf numFmtId="0" fontId="22" fillId="0" borderId="0" xfId="0" applyNumberFormat="1" applyFont="1" applyBorder="1" applyProtection="1"/>
    <xf numFmtId="0" fontId="23" fillId="25" borderId="9" xfId="0" applyFont="1" applyFill="1" applyBorder="1" applyAlignment="1">
      <alignment horizontal="center"/>
    </xf>
    <xf numFmtId="0" fontId="22" fillId="25" borderId="10" xfId="0" applyFont="1" applyFill="1" applyBorder="1"/>
    <xf numFmtId="0" fontId="23" fillId="25" borderId="31" xfId="0" applyFont="1" applyFill="1" applyBorder="1" applyAlignment="1">
      <alignment horizontal="center"/>
    </xf>
    <xf numFmtId="0" fontId="22" fillId="25" borderId="28" xfId="0" applyFont="1" applyFill="1" applyBorder="1"/>
    <xf numFmtId="0" fontId="23" fillId="25" borderId="31" xfId="0" applyFont="1" applyFill="1" applyBorder="1" applyAlignment="1">
      <alignment horizontal="left"/>
    </xf>
    <xf numFmtId="0" fontId="22" fillId="25" borderId="1" xfId="0" applyFont="1" applyFill="1" applyBorder="1"/>
    <xf numFmtId="0" fontId="22" fillId="25" borderId="3" xfId="0" applyFont="1" applyFill="1" applyBorder="1"/>
    <xf numFmtId="5" fontId="22" fillId="0" borderId="0" xfId="0" applyNumberFormat="1" applyFont="1" applyBorder="1"/>
    <xf numFmtId="0" fontId="22" fillId="0" borderId="0" xfId="0" applyFont="1" applyFill="1" applyBorder="1"/>
    <xf numFmtId="0" fontId="26" fillId="25" borderId="24" xfId="0" applyFont="1" applyFill="1" applyBorder="1" applyProtection="1"/>
    <xf numFmtId="1" fontId="22" fillId="25" borderId="0" xfId="0" applyNumberFormat="1" applyFont="1" applyFill="1" applyBorder="1"/>
    <xf numFmtId="2" fontId="22" fillId="25" borderId="35" xfId="0" applyNumberFormat="1" applyFont="1" applyFill="1" applyBorder="1" applyAlignment="1">
      <alignment horizontal="center"/>
    </xf>
    <xf numFmtId="2" fontId="22" fillId="25" borderId="32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23" fillId="0" borderId="0" xfId="0" applyFont="1" applyFill="1" applyBorder="1"/>
    <xf numFmtId="0" fontId="22" fillId="0" borderId="0" xfId="0" applyFont="1" applyFill="1" applyBorder="1" applyProtection="1">
      <protection locked="0"/>
    </xf>
    <xf numFmtId="0" fontId="22" fillId="0" borderId="20" xfId="0" applyFont="1" applyFill="1" applyBorder="1" applyAlignment="1" applyProtection="1">
      <alignment vertical="center"/>
    </xf>
    <xf numFmtId="0" fontId="22" fillId="0" borderId="20" xfId="0" applyFont="1" applyFill="1" applyBorder="1" applyProtection="1"/>
    <xf numFmtId="0" fontId="22" fillId="0" borderId="0" xfId="0" applyFont="1" applyFill="1" applyBorder="1" applyProtection="1"/>
    <xf numFmtId="0" fontId="23" fillId="0" borderId="0" xfId="0" applyFont="1" applyFill="1" applyBorder="1" applyProtection="1"/>
    <xf numFmtId="0" fontId="33" fillId="25" borderId="25" xfId="0" applyNumberFormat="1" applyFont="1" applyFill="1" applyBorder="1" applyAlignment="1" applyProtection="1">
      <alignment horizontal="right"/>
    </xf>
    <xf numFmtId="0" fontId="32" fillId="0" borderId="0" xfId="0" applyFont="1" applyAlignment="1">
      <alignment horizontal="left"/>
    </xf>
    <xf numFmtId="164" fontId="22" fillId="0" borderId="0" xfId="0" applyNumberFormat="1" applyFont="1" applyAlignment="1">
      <alignment horizontal="center"/>
    </xf>
    <xf numFmtId="0" fontId="3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5" fontId="23" fillId="0" borderId="20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25" borderId="9" xfId="0" applyFont="1" applyFill="1" applyBorder="1" applyAlignment="1">
      <alignment vertical="center" wrapText="1"/>
    </xf>
    <xf numFmtId="0" fontId="22" fillId="25" borderId="31" xfId="0" applyFont="1" applyFill="1" applyBorder="1"/>
    <xf numFmtId="0" fontId="22" fillId="25" borderId="10" xfId="0" applyFont="1" applyFill="1" applyBorder="1" applyAlignment="1">
      <alignment vertical="center" wrapText="1"/>
    </xf>
    <xf numFmtId="5" fontId="22" fillId="25" borderId="28" xfId="0" applyNumberFormat="1" applyFont="1" applyFill="1" applyBorder="1"/>
    <xf numFmtId="0" fontId="23" fillId="25" borderId="20" xfId="0" applyFont="1" applyFill="1" applyBorder="1"/>
    <xf numFmtId="0" fontId="23" fillId="25" borderId="31" xfId="0" applyFont="1" applyFill="1" applyBorder="1"/>
    <xf numFmtId="0" fontId="23" fillId="25" borderId="4" xfId="0" applyFont="1" applyFill="1" applyBorder="1"/>
    <xf numFmtId="0" fontId="23" fillId="25" borderId="28" xfId="0" applyFont="1" applyFill="1" applyBorder="1"/>
    <xf numFmtId="0" fontId="23" fillId="25" borderId="35" xfId="0" applyFont="1" applyFill="1" applyBorder="1"/>
    <xf numFmtId="0" fontId="23" fillId="25" borderId="32" xfId="0" applyFont="1" applyFill="1" applyBorder="1"/>
    <xf numFmtId="0" fontId="32" fillId="25" borderId="2" xfId="0" applyFont="1" applyFill="1" applyBorder="1"/>
    <xf numFmtId="165" fontId="36" fillId="0" borderId="0" xfId="48" applyNumberFormat="1" applyFont="1" applyFill="1" applyBorder="1" applyAlignment="1" applyProtection="1">
      <alignment horizontal="right"/>
      <protection locked="0"/>
    </xf>
    <xf numFmtId="0" fontId="32" fillId="0" borderId="0" xfId="0" applyFont="1" applyFill="1" applyBorder="1" applyProtection="1"/>
    <xf numFmtId="0" fontId="37" fillId="25" borderId="21" xfId="0" applyFont="1" applyFill="1" applyBorder="1" applyAlignment="1" applyProtection="1">
      <alignment horizontal="center"/>
      <protection locked="0"/>
    </xf>
    <xf numFmtId="5" fontId="37" fillId="26" borderId="21" xfId="0" applyNumberFormat="1" applyFont="1" applyFill="1" applyBorder="1" applyAlignment="1" applyProtection="1">
      <alignment horizontal="center"/>
      <protection locked="0"/>
    </xf>
    <xf numFmtId="5" fontId="37" fillId="26" borderId="32" xfId="0" applyNumberFormat="1" applyFont="1" applyFill="1" applyBorder="1" applyAlignment="1" applyProtection="1">
      <alignment horizontal="center"/>
      <protection locked="0"/>
    </xf>
    <xf numFmtId="0" fontId="37" fillId="25" borderId="31" xfId="0" applyFont="1" applyFill="1" applyBorder="1" applyProtection="1">
      <protection locked="0"/>
    </xf>
    <xf numFmtId="0" fontId="37" fillId="25" borderId="31" xfId="0" applyFont="1" applyFill="1" applyBorder="1" applyAlignment="1" applyProtection="1">
      <alignment horizontal="center"/>
      <protection locked="0"/>
    </xf>
    <xf numFmtId="0" fontId="37" fillId="25" borderId="0" xfId="0" applyFont="1" applyFill="1" applyBorder="1" applyAlignment="1" applyProtection="1">
      <alignment horizontal="center"/>
      <protection locked="0"/>
    </xf>
    <xf numFmtId="0" fontId="37" fillId="25" borderId="32" xfId="0" applyFont="1" applyFill="1" applyBorder="1" applyAlignment="1" applyProtection="1">
      <alignment horizontal="center"/>
      <protection locked="0"/>
    </xf>
    <xf numFmtId="42" fontId="23" fillId="27" borderId="20" xfId="0" applyNumberFormat="1" applyFont="1" applyFill="1" applyBorder="1"/>
    <xf numFmtId="0" fontId="38" fillId="28" borderId="20" xfId="0" applyFont="1" applyFill="1" applyBorder="1"/>
    <xf numFmtId="9" fontId="37" fillId="25" borderId="0" xfId="0" applyNumberFormat="1" applyFont="1" applyFill="1" applyBorder="1" applyAlignment="1" applyProtection="1">
      <alignment horizontal="center"/>
      <protection locked="0"/>
    </xf>
    <xf numFmtId="0" fontId="30" fillId="25" borderId="25" xfId="0" applyNumberFormat="1" applyFont="1" applyFill="1" applyBorder="1" applyAlignment="1">
      <alignment horizontal="left" wrapText="1" indent="1"/>
    </xf>
    <xf numFmtId="0" fontId="26" fillId="25" borderId="25" xfId="0" applyNumberFormat="1" applyFont="1" applyFill="1" applyBorder="1" applyAlignment="1">
      <alignment horizontal="left" wrapText="1" indent="1"/>
    </xf>
    <xf numFmtId="0" fontId="39" fillId="28" borderId="4" xfId="0" applyFont="1" applyFill="1" applyBorder="1" applyProtection="1">
      <protection locked="0"/>
    </xf>
    <xf numFmtId="0" fontId="39" fillId="28" borderId="4" xfId="0" applyFont="1" applyFill="1" applyBorder="1" applyAlignment="1" applyProtection="1">
      <alignment horizontal="center"/>
      <protection locked="0"/>
    </xf>
    <xf numFmtId="0" fontId="39" fillId="28" borderId="20" xfId="0" applyFont="1" applyFill="1" applyBorder="1" applyAlignment="1" applyProtection="1">
      <alignment horizontal="center"/>
      <protection locked="0"/>
    </xf>
    <xf numFmtId="0" fontId="39" fillId="28" borderId="5" xfId="0" applyFont="1" applyFill="1" applyBorder="1" applyAlignment="1" applyProtection="1">
      <alignment horizontal="center"/>
      <protection locked="0"/>
    </xf>
    <xf numFmtId="0" fontId="26" fillId="25" borderId="25" xfId="0" applyNumberFormat="1" applyFont="1" applyFill="1" applyBorder="1"/>
    <xf numFmtId="0" fontId="26" fillId="25" borderId="25" xfId="0" applyNumberFormat="1" applyFont="1" applyFill="1" applyBorder="1" applyAlignment="1">
      <alignment horizontal="left" indent="1"/>
    </xf>
    <xf numFmtId="0" fontId="26" fillId="0" borderId="33" xfId="0" applyNumberFormat="1" applyFont="1" applyBorder="1" applyAlignment="1">
      <alignment horizontal="left"/>
    </xf>
    <xf numFmtId="0" fontId="26" fillId="0" borderId="0" xfId="0" applyNumberFormat="1" applyFont="1" applyBorder="1" applyProtection="1"/>
    <xf numFmtId="0" fontId="26" fillId="25" borderId="25" xfId="0" applyNumberFormat="1" applyFont="1" applyFill="1" applyBorder="1" applyAlignment="1" applyProtection="1">
      <alignment horizontal="left" indent="1"/>
    </xf>
    <xf numFmtId="0" fontId="40" fillId="25" borderId="2" xfId="0" applyFont="1" applyFill="1" applyBorder="1" applyAlignment="1">
      <alignment horizontal="center"/>
    </xf>
    <xf numFmtId="42" fontId="22" fillId="0" borderId="0" xfId="0" applyNumberFormat="1" applyFont="1"/>
    <xf numFmtId="0" fontId="44" fillId="25" borderId="0" xfId="0" applyFont="1" applyFill="1" applyBorder="1"/>
    <xf numFmtId="0" fontId="32" fillId="0" borderId="0" xfId="0" applyFont="1" applyFill="1" applyBorder="1"/>
    <xf numFmtId="0" fontId="45" fillId="25" borderId="28" xfId="0" applyFont="1" applyFill="1" applyBorder="1"/>
    <xf numFmtId="2" fontId="22" fillId="25" borderId="20" xfId="0" applyNumberFormat="1" applyFont="1" applyFill="1" applyBorder="1" applyAlignment="1">
      <alignment horizontal="center"/>
    </xf>
    <xf numFmtId="0" fontId="46" fillId="0" borderId="0" xfId="0" applyFont="1" applyFill="1" applyBorder="1"/>
    <xf numFmtId="0" fontId="32" fillId="0" borderId="0" xfId="0" applyFont="1" applyBorder="1" applyAlignment="1" applyProtection="1">
      <alignment horizontal="center"/>
    </xf>
    <xf numFmtId="0" fontId="43" fillId="25" borderId="21" xfId="0" applyFont="1" applyFill="1" applyBorder="1" applyProtection="1">
      <protection locked="0"/>
    </xf>
    <xf numFmtId="0" fontId="43" fillId="25" borderId="31" xfId="0" applyFont="1" applyFill="1" applyBorder="1" applyProtection="1">
      <protection locked="0"/>
    </xf>
    <xf numFmtId="0" fontId="43" fillId="25" borderId="21" xfId="0" applyFont="1" applyFill="1" applyBorder="1" applyAlignment="1" applyProtection="1">
      <alignment horizontal="left"/>
      <protection locked="0"/>
    </xf>
    <xf numFmtId="5" fontId="43" fillId="26" borderId="29" xfId="0" applyNumberFormat="1" applyFont="1" applyFill="1" applyBorder="1" applyAlignment="1" applyProtection="1">
      <alignment horizontal="center"/>
      <protection locked="0"/>
    </xf>
    <xf numFmtId="5" fontId="43" fillId="26" borderId="21" xfId="0" applyNumberFormat="1" applyFont="1" applyFill="1" applyBorder="1" applyAlignment="1" applyProtection="1">
      <alignment horizontal="center"/>
      <protection locked="0"/>
    </xf>
    <xf numFmtId="5" fontId="43" fillId="26" borderId="32" xfId="0" applyNumberFormat="1" applyFont="1" applyFill="1" applyBorder="1" applyAlignment="1" applyProtection="1">
      <alignment horizontal="center"/>
      <protection locked="0"/>
    </xf>
    <xf numFmtId="0" fontId="43" fillId="25" borderId="31" xfId="0" applyFont="1" applyFill="1" applyBorder="1" applyAlignment="1" applyProtection="1">
      <alignment wrapText="1"/>
      <protection locked="0"/>
    </xf>
    <xf numFmtId="164" fontId="43" fillId="25" borderId="31" xfId="0" applyNumberFormat="1" applyFont="1" applyFill="1" applyBorder="1" applyAlignment="1" applyProtection="1">
      <alignment horizontal="center"/>
      <protection locked="0"/>
    </xf>
    <xf numFmtId="0" fontId="43" fillId="0" borderId="0" xfId="0" applyFont="1" applyFill="1" applyBorder="1"/>
    <xf numFmtId="0" fontId="41" fillId="25" borderId="0" xfId="0" applyFont="1" applyFill="1" applyBorder="1" applyProtection="1"/>
    <xf numFmtId="0" fontId="26" fillId="30" borderId="25" xfId="0" applyNumberFormat="1" applyFont="1" applyFill="1" applyBorder="1" applyAlignment="1" applyProtection="1">
      <alignment horizontal="left" indent="1"/>
    </xf>
    <xf numFmtId="164" fontId="43" fillId="30" borderId="31" xfId="0" applyNumberFormat="1" applyFont="1" applyFill="1" applyBorder="1" applyAlignment="1" applyProtection="1">
      <alignment horizontal="center"/>
      <protection locked="0"/>
    </xf>
    <xf numFmtId="164" fontId="43" fillId="25" borderId="21" xfId="0" applyNumberFormat="1" applyFont="1" applyFill="1" applyBorder="1" applyAlignment="1" applyProtection="1">
      <alignment horizontal="center"/>
      <protection locked="0"/>
    </xf>
    <xf numFmtId="164" fontId="43" fillId="25" borderId="28" xfId="0" applyNumberFormat="1" applyFont="1" applyFill="1" applyBorder="1" applyAlignment="1" applyProtection="1">
      <alignment horizontal="center"/>
      <protection locked="0"/>
    </xf>
    <xf numFmtId="164" fontId="43" fillId="25" borderId="0" xfId="0" applyNumberFormat="1" applyFont="1" applyFill="1" applyBorder="1" applyAlignment="1" applyProtection="1">
      <alignment horizontal="center"/>
      <protection locked="0"/>
    </xf>
    <xf numFmtId="164" fontId="43" fillId="25" borderId="29" xfId="0" applyNumberFormat="1" applyFont="1" applyFill="1" applyBorder="1" applyAlignment="1" applyProtection="1">
      <alignment horizontal="center"/>
      <protection locked="0"/>
    </xf>
    <xf numFmtId="164" fontId="23" fillId="25" borderId="20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Protection="1"/>
    <xf numFmtId="9" fontId="22" fillId="0" borderId="0" xfId="63" applyFont="1" applyFill="1" applyBorder="1" applyAlignment="1" applyProtection="1">
      <alignment horizontal="center"/>
    </xf>
    <xf numFmtId="42" fontId="22" fillId="0" borderId="0" xfId="0" applyNumberFormat="1" applyFont="1" applyFill="1" applyBorder="1" applyProtection="1"/>
    <xf numFmtId="165" fontId="23" fillId="0" borderId="0" xfId="48" applyNumberFormat="1" applyFont="1" applyFill="1" applyBorder="1" applyProtection="1"/>
    <xf numFmtId="0" fontId="27" fillId="0" borderId="0" xfId="0" applyFont="1" applyFill="1" applyBorder="1" applyAlignment="1" applyProtection="1">
      <alignment horizontal="left"/>
    </xf>
    <xf numFmtId="9" fontId="27" fillId="0" borderId="0" xfId="63" applyFont="1" applyFill="1" applyBorder="1" applyAlignment="1" applyProtection="1">
      <alignment horizontal="center"/>
    </xf>
    <xf numFmtId="0" fontId="32" fillId="0" borderId="0" xfId="0" applyFont="1" applyFill="1" applyBorder="1" applyAlignment="1" applyProtection="1">
      <alignment horizontal="center"/>
    </xf>
    <xf numFmtId="0" fontId="22" fillId="29" borderId="33" xfId="0" applyNumberFormat="1" applyFont="1" applyFill="1" applyBorder="1" applyProtection="1"/>
    <xf numFmtId="0" fontId="22" fillId="29" borderId="34" xfId="0" applyFont="1" applyFill="1" applyBorder="1" applyProtection="1"/>
    <xf numFmtId="0" fontId="22" fillId="29" borderId="24" xfId="0" applyFont="1" applyFill="1" applyBorder="1" applyProtection="1"/>
    <xf numFmtId="0" fontId="30" fillId="30" borderId="25" xfId="0" applyNumberFormat="1" applyFont="1" applyFill="1" applyBorder="1" applyAlignment="1">
      <alignment horizontal="left" wrapText="1" indent="1"/>
    </xf>
    <xf numFmtId="0" fontId="47" fillId="0" borderId="0" xfId="0" applyFont="1"/>
    <xf numFmtId="0" fontId="48" fillId="0" borderId="0" xfId="0" applyFont="1"/>
    <xf numFmtId="0" fontId="49" fillId="0" borderId="0" xfId="0" applyFont="1"/>
    <xf numFmtId="0" fontId="27" fillId="0" borderId="0" xfId="0" applyFont="1" applyBorder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22" fillId="0" borderId="20" xfId="0" applyFont="1" applyFill="1" applyBorder="1"/>
    <xf numFmtId="44" fontId="22" fillId="0" borderId="0" xfId="48" applyFont="1" applyFill="1" applyBorder="1"/>
    <xf numFmtId="0" fontId="47" fillId="0" borderId="0" xfId="0" applyFont="1" applyFill="1" applyBorder="1"/>
    <xf numFmtId="0" fontId="55" fillId="0" borderId="0" xfId="0" applyFont="1" applyFill="1" applyBorder="1"/>
    <xf numFmtId="0" fontId="47" fillId="0" borderId="0" xfId="0" applyFont="1" applyFill="1" applyAlignment="1"/>
    <xf numFmtId="0" fontId="47" fillId="0" borderId="0" xfId="0" applyFont="1" applyFill="1"/>
    <xf numFmtId="10" fontId="43" fillId="0" borderId="0" xfId="63" applyNumberFormat="1" applyFont="1" applyFill="1" applyBorder="1" applyAlignment="1" applyProtection="1">
      <alignment horizontal="right"/>
      <protection locked="0"/>
    </xf>
    <xf numFmtId="5" fontId="23" fillId="0" borderId="20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 applyProtection="1">
      <alignment vertical="top"/>
    </xf>
    <xf numFmtId="165" fontId="23" fillId="29" borderId="20" xfId="48" applyNumberFormat="1" applyFont="1" applyFill="1" applyBorder="1" applyAlignment="1" applyProtection="1">
      <alignment horizontal="right" vertical="top"/>
      <protection locked="0"/>
    </xf>
    <xf numFmtId="165" fontId="56" fillId="0" borderId="20" xfId="48" applyNumberFormat="1" applyFont="1" applyFill="1" applyBorder="1" applyAlignment="1" applyProtection="1">
      <alignment horizontal="right" vertical="top" wrapText="1"/>
      <protection locked="0"/>
    </xf>
    <xf numFmtId="44" fontId="23" fillId="29" borderId="20" xfId="48" applyNumberFormat="1" applyFont="1" applyFill="1" applyBorder="1" applyAlignment="1" applyProtection="1">
      <alignment horizontal="right" vertical="top" wrapText="1"/>
      <protection locked="0"/>
    </xf>
    <xf numFmtId="0" fontId="23" fillId="30" borderId="31" xfId="0" applyFont="1" applyFill="1" applyBorder="1" applyAlignment="1" applyProtection="1">
      <alignment vertical="top"/>
    </xf>
    <xf numFmtId="2" fontId="22" fillId="29" borderId="20" xfId="48" applyNumberFormat="1" applyFont="1" applyFill="1" applyBorder="1" applyAlignment="1" applyProtection="1">
      <alignment horizontal="right" vertical="top"/>
      <protection locked="0"/>
    </xf>
    <xf numFmtId="2" fontId="43" fillId="30" borderId="20" xfId="48" applyNumberFormat="1" applyFont="1" applyFill="1" applyBorder="1" applyAlignment="1" applyProtection="1">
      <alignment horizontal="right" vertical="top"/>
      <protection locked="0"/>
    </xf>
    <xf numFmtId="44" fontId="23" fillId="29" borderId="20" xfId="48" applyNumberFormat="1" applyFont="1" applyFill="1" applyBorder="1" applyAlignment="1" applyProtection="1">
      <alignment horizontal="right" vertical="top"/>
      <protection locked="0"/>
    </xf>
    <xf numFmtId="2" fontId="57" fillId="0" borderId="20" xfId="48" applyNumberFormat="1" applyFont="1" applyFill="1" applyBorder="1" applyAlignment="1" applyProtection="1">
      <alignment horizontal="right" vertical="top"/>
      <protection locked="0"/>
    </xf>
    <xf numFmtId="2" fontId="22" fillId="29" borderId="20" xfId="63" applyNumberFormat="1" applyFont="1" applyFill="1" applyBorder="1" applyAlignment="1" applyProtection="1">
      <alignment horizontal="right" vertical="top"/>
      <protection locked="0"/>
    </xf>
    <xf numFmtId="44" fontId="23" fillId="29" borderId="20" xfId="48" applyFont="1" applyFill="1" applyBorder="1" applyAlignment="1" applyProtection="1">
      <alignment horizontal="right" vertical="top"/>
      <protection locked="0"/>
    </xf>
    <xf numFmtId="10" fontId="57" fillId="0" borderId="20" xfId="63" applyNumberFormat="1" applyFont="1" applyFill="1" applyBorder="1" applyAlignment="1" applyProtection="1">
      <alignment horizontal="right" vertical="top"/>
      <protection locked="0"/>
    </xf>
    <xf numFmtId="10" fontId="43" fillId="30" borderId="20" xfId="63" applyNumberFormat="1" applyFont="1" applyFill="1" applyBorder="1" applyAlignment="1" applyProtection="1">
      <alignment horizontal="right" vertical="top"/>
      <protection locked="0"/>
    </xf>
    <xf numFmtId="2" fontId="58" fillId="29" borderId="20" xfId="0" applyNumberFormat="1" applyFont="1" applyFill="1" applyBorder="1" applyAlignment="1" applyProtection="1">
      <alignment horizontal="right" vertical="top"/>
      <protection locked="0"/>
    </xf>
    <xf numFmtId="165" fontId="56" fillId="0" borderId="20" xfId="48" applyNumberFormat="1" applyFont="1" applyFill="1" applyBorder="1" applyAlignment="1" applyProtection="1">
      <alignment horizontal="right" vertical="top"/>
      <protection locked="0"/>
    </xf>
    <xf numFmtId="0" fontId="22" fillId="0" borderId="20" xfId="0" applyFont="1" applyFill="1" applyBorder="1" applyAlignment="1" applyProtection="1">
      <alignment horizontal="left" vertical="top" indent="3"/>
    </xf>
    <xf numFmtId="0" fontId="24" fillId="25" borderId="31" xfId="0" applyNumberFormat="1" applyFont="1" applyFill="1" applyBorder="1" applyAlignment="1">
      <alignment horizontal="left" vertical="top" wrapText="1" indent="3"/>
    </xf>
    <xf numFmtId="9" fontId="22" fillId="29" borderId="20" xfId="0" applyNumberFormat="1" applyFont="1" applyFill="1" applyBorder="1" applyProtection="1">
      <protection locked="0"/>
    </xf>
    <xf numFmtId="0" fontId="22" fillId="0" borderId="36" xfId="0" applyFont="1" applyFill="1" applyBorder="1" applyAlignment="1">
      <alignment wrapText="1"/>
    </xf>
    <xf numFmtId="0" fontId="22" fillId="0" borderId="37" xfId="0" applyFont="1" applyFill="1" applyBorder="1"/>
    <xf numFmtId="0" fontId="32" fillId="0" borderId="36" xfId="0" applyFont="1" applyFill="1" applyBorder="1"/>
    <xf numFmtId="0" fontId="32" fillId="0" borderId="37" xfId="0" applyFont="1" applyFill="1" applyBorder="1"/>
    <xf numFmtId="166" fontId="22" fillId="0" borderId="36" xfId="48" applyNumberFormat="1" applyFont="1" applyFill="1" applyBorder="1"/>
    <xf numFmtId="6" fontId="22" fillId="0" borderId="36" xfId="48" applyNumberFormat="1" applyFont="1" applyFill="1" applyBorder="1"/>
    <xf numFmtId="44" fontId="22" fillId="0" borderId="36" xfId="48" applyFont="1" applyFill="1" applyBorder="1"/>
    <xf numFmtId="8" fontId="22" fillId="0" borderId="36" xfId="48" quotePrefix="1" applyNumberFormat="1" applyFont="1" applyFill="1" applyBorder="1"/>
    <xf numFmtId="6" fontId="22" fillId="0" borderId="36" xfId="48" quotePrefix="1" applyNumberFormat="1" applyFont="1" applyFill="1" applyBorder="1"/>
    <xf numFmtId="0" fontId="22" fillId="0" borderId="36" xfId="0" applyFont="1" applyFill="1" applyBorder="1"/>
    <xf numFmtId="0" fontId="23" fillId="0" borderId="20" xfId="0" applyFont="1" applyFill="1" applyBorder="1" applyAlignment="1">
      <alignment horizontal="center"/>
    </xf>
    <xf numFmtId="44" fontId="23" fillId="0" borderId="20" xfId="48" applyFont="1" applyFill="1" applyBorder="1"/>
    <xf numFmtId="44" fontId="22" fillId="0" borderId="20" xfId="48" applyFont="1" applyFill="1" applyBorder="1" applyAlignment="1">
      <alignment wrapText="1"/>
    </xf>
    <xf numFmtId="44" fontId="22" fillId="0" borderId="20" xfId="48" applyFont="1" applyFill="1" applyBorder="1"/>
    <xf numFmtId="44" fontId="22" fillId="0" borderId="20" xfId="48" applyFont="1" applyFill="1" applyBorder="1" applyAlignment="1"/>
    <xf numFmtId="1" fontId="22" fillId="25" borderId="20" xfId="0" applyNumberFormat="1" applyFont="1" applyFill="1" applyBorder="1"/>
    <xf numFmtId="164" fontId="22" fillId="25" borderId="20" xfId="0" applyNumberFormat="1" applyFont="1" applyFill="1" applyBorder="1"/>
    <xf numFmtId="164" fontId="43" fillId="25" borderId="20" xfId="0" applyNumberFormat="1" applyFont="1" applyFill="1" applyBorder="1" applyProtection="1">
      <protection locked="0"/>
    </xf>
    <xf numFmtId="164" fontId="43" fillId="25" borderId="35" xfId="0" applyNumberFormat="1" applyFont="1" applyFill="1" applyBorder="1" applyProtection="1">
      <protection locked="0"/>
    </xf>
    <xf numFmtId="164" fontId="22" fillId="25" borderId="32" xfId="0" applyNumberFormat="1" applyFont="1" applyFill="1" applyBorder="1"/>
    <xf numFmtId="0" fontId="23" fillId="25" borderId="31" xfId="0" applyFont="1" applyFill="1" applyBorder="1" applyAlignment="1">
      <alignment horizontal="left" indent="2"/>
    </xf>
    <xf numFmtId="10" fontId="22" fillId="29" borderId="20" xfId="0" applyNumberFormat="1" applyFont="1" applyFill="1" applyBorder="1" applyProtection="1">
      <protection locked="0"/>
    </xf>
    <xf numFmtId="44" fontId="26" fillId="25" borderId="21" xfId="48" applyFont="1" applyFill="1" applyBorder="1" applyProtection="1"/>
    <xf numFmtId="44" fontId="26" fillId="25" borderId="28" xfId="48" applyFont="1" applyFill="1" applyBorder="1" applyProtection="1"/>
    <xf numFmtId="44" fontId="26" fillId="25" borderId="26" xfId="48" applyFont="1" applyFill="1" applyBorder="1" applyProtection="1"/>
    <xf numFmtId="44" fontId="26" fillId="25" borderId="27" xfId="48" applyFont="1" applyFill="1" applyBorder="1" applyProtection="1"/>
    <xf numFmtId="44" fontId="26" fillId="30" borderId="21" xfId="48" applyFont="1" applyFill="1" applyBorder="1" applyProtection="1"/>
    <xf numFmtId="44" fontId="26" fillId="30" borderId="30" xfId="48" applyFont="1" applyFill="1" applyBorder="1" applyProtection="1"/>
    <xf numFmtId="44" fontId="26" fillId="25" borderId="0" xfId="48" applyFont="1" applyFill="1" applyBorder="1" applyProtection="1"/>
    <xf numFmtId="44" fontId="26" fillId="25" borderId="34" xfId="48" applyFont="1" applyFill="1" applyBorder="1" applyAlignment="1" applyProtection="1">
      <alignment horizontal="center"/>
    </xf>
    <xf numFmtId="3" fontId="23" fillId="28" borderId="20" xfId="0" applyNumberFormat="1" applyFont="1" applyFill="1" applyBorder="1" applyAlignment="1">
      <alignment horizontal="center"/>
    </xf>
    <xf numFmtId="0" fontId="23" fillId="25" borderId="29" xfId="0" applyFont="1" applyFill="1" applyBorder="1"/>
    <xf numFmtId="2" fontId="22" fillId="25" borderId="29" xfId="0" applyNumberFormat="1" applyFont="1" applyFill="1" applyBorder="1" applyAlignment="1">
      <alignment horizontal="center"/>
    </xf>
    <xf numFmtId="0" fontId="48" fillId="0" borderId="0" xfId="0" applyFont="1" applyAlignment="1">
      <alignment wrapText="1"/>
    </xf>
    <xf numFmtId="0" fontId="47" fillId="0" borderId="0" xfId="0" applyFont="1" applyAlignment="1">
      <alignment horizontal="left" wrapText="1"/>
    </xf>
    <xf numFmtId="0" fontId="29" fillId="25" borderId="8" xfId="0" applyFont="1" applyFill="1" applyBorder="1" applyAlignment="1">
      <alignment horizontal="center"/>
    </xf>
    <xf numFmtId="0" fontId="34" fillId="20" borderId="29" xfId="0" applyFont="1" applyFill="1" applyBorder="1" applyAlignment="1">
      <alignment horizontal="center" vertical="center" wrapText="1"/>
    </xf>
    <xf numFmtId="0" fontId="34" fillId="20" borderId="32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/>
    </xf>
    <xf numFmtId="0" fontId="23" fillId="0" borderId="37" xfId="0" applyFont="1" applyFill="1" applyBorder="1" applyAlignment="1">
      <alignment horizontal="center"/>
    </xf>
  </cellXfs>
  <cellStyles count="7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LSTEC Bottom" xfId="25"/>
    <cellStyle name="ALSTEC Bottom Left" xfId="26"/>
    <cellStyle name="ALSTEC Bottom Right" xfId="27"/>
    <cellStyle name="ALSTEC Currency" xfId="28"/>
    <cellStyle name="ALSTEC Date" xfId="29"/>
    <cellStyle name="ALSTEC Detail Header" xfId="30"/>
    <cellStyle name="ALSTEC DOUBLE" xfId="31"/>
    <cellStyle name="ALSTEC Left" xfId="32"/>
    <cellStyle name="ALSTEC Middle" xfId="33"/>
    <cellStyle name="ALSTEC Normal" xfId="34"/>
    <cellStyle name="ALSTEC Report Body" xfId="35"/>
    <cellStyle name="ALSTEC Right" xfId="36"/>
    <cellStyle name="ALSTEC Subtotal" xfId="37"/>
    <cellStyle name="ALSTEC Top" xfId="38"/>
    <cellStyle name="ALSTEC Top Left" xfId="39"/>
    <cellStyle name="ALSTEC Top Right" xfId="40"/>
    <cellStyle name="ALSTEC Total" xfId="41"/>
    <cellStyle name="Bad" xfId="42" builtinId="27" customBuiltin="1"/>
    <cellStyle name="Calculation" xfId="43" builtinId="22" customBuiltin="1"/>
    <cellStyle name="Check Cell" xfId="44" builtinId="23" customBuiltin="1"/>
    <cellStyle name="Comma 2" xfId="45"/>
    <cellStyle name="Comma 3" xfId="46"/>
    <cellStyle name="Comma 4" xfId="47"/>
    <cellStyle name="Currency" xfId="48" builtinId="4"/>
    <cellStyle name="Currency 2" xfId="49"/>
    <cellStyle name="Currency 3" xfId="50"/>
    <cellStyle name="Currency 4" xfId="51"/>
    <cellStyle name="Explanatory Text" xfId="52" builtinId="53" customBuiltin="1"/>
    <cellStyle name="Good" xfId="53" builtinId="26" customBuiltin="1"/>
    <cellStyle name="Heading 1" xfId="54" builtinId="16" customBuiltin="1"/>
    <cellStyle name="Heading 2" xfId="55" builtinId="17" customBuiltin="1"/>
    <cellStyle name="Heading 3" xfId="56" builtinId="18" customBuiltin="1"/>
    <cellStyle name="Heading 4" xfId="57" builtinId="19" customBuiltin="1"/>
    <cellStyle name="Input" xfId="58" builtinId="20" customBuiltin="1"/>
    <cellStyle name="Linked Cell" xfId="59" builtinId="24" customBuiltin="1"/>
    <cellStyle name="Neutral" xfId="60" builtinId="28" customBuiltin="1"/>
    <cellStyle name="Normal" xfId="0" builtinId="0"/>
    <cellStyle name="Note" xfId="61" builtinId="10" customBuiltin="1"/>
    <cellStyle name="Output" xfId="62" builtinId="21" customBuiltin="1"/>
    <cellStyle name="Percent" xfId="63" builtinId="5"/>
    <cellStyle name="Percent 2" xfId="64"/>
    <cellStyle name="Percent 3" xfId="65"/>
    <cellStyle name="Percent 4" xfId="66"/>
    <cellStyle name="Title" xfId="67" builtinId="15" customBuiltin="1"/>
    <cellStyle name="Total" xfId="68" builtinId="25" customBuiltin="1"/>
    <cellStyle name="Warning Text" xfId="6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\AppData\Local\Microsoft\Windows\INetCache\Content.Outlook\YPTTZK9T\Highline2%25206yr%2520budget_ACTIVE_DPS%2520ECE%2520Draft%25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nstructions"/>
      <sheetName val="2-Cover Page"/>
      <sheetName val="3-Budget Detail"/>
      <sheetName val="4-Equipment"/>
      <sheetName val="5a-Budget Summary-Year 1"/>
      <sheetName val="5b-Budget Summary-Year 2"/>
      <sheetName val="5c-Budget Summary-Year 3"/>
      <sheetName val="6-Error Checking"/>
      <sheetName val="7-Revisions-Comments"/>
      <sheetName val="Calculation Equipment"/>
      <sheetName val="Other"/>
      <sheetName val="Calculation Detail"/>
      <sheetName val="budget"/>
      <sheetName val="salaries"/>
      <sheetName val="notes"/>
      <sheetName val="Budget Analysis"/>
      <sheetName val="Assumptions"/>
      <sheetName val="Staff Nee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Inst. - Salaries (0100)</v>
          </cell>
        </row>
        <row r="2">
          <cell r="D2" t="str">
            <v>Inst. - Employee Benefits (0200)</v>
          </cell>
        </row>
        <row r="3">
          <cell r="D3" t="str">
            <v>Inst. - Purchased Professional &amp; Technical Services (0300)</v>
          </cell>
        </row>
        <row r="4">
          <cell r="D4" t="str">
            <v>Inst. - Other Purchased Services (0500)</v>
          </cell>
        </row>
        <row r="5">
          <cell r="A5" t="str">
            <v>Project 1-Year 1</v>
          </cell>
          <cell r="D5" t="str">
            <v>Inst. - Travel, Registration and Entrance (0580)</v>
          </cell>
        </row>
        <row r="6">
          <cell r="A6" t="str">
            <v>Project 2-Year 1</v>
          </cell>
          <cell r="D6" t="str">
            <v>Inst. - Supplies (0600)</v>
          </cell>
        </row>
        <row r="7">
          <cell r="A7" t="str">
            <v>Project 3-Year 1</v>
          </cell>
          <cell r="D7" t="str">
            <v>Support - Salaries (0100)</v>
          </cell>
        </row>
        <row r="8">
          <cell r="A8" t="str">
            <v>Project 4-Year 1</v>
          </cell>
          <cell r="D8" t="str">
            <v>Support - Employee Benefits (0200)</v>
          </cell>
        </row>
        <row r="9">
          <cell r="A9" t="str">
            <v>Project 5-Year 1</v>
          </cell>
          <cell r="D9" t="str">
            <v>Support - Purchased Professional &amp; Technical Services (0300)</v>
          </cell>
        </row>
        <row r="10">
          <cell r="A10" t="str">
            <v>Project 1-Year 2</v>
          </cell>
          <cell r="D10" t="str">
            <v>Support - Other Purchased Services (0500)</v>
          </cell>
        </row>
        <row r="11">
          <cell r="A11" t="str">
            <v>Project 2-Year 2</v>
          </cell>
          <cell r="D11" t="str">
            <v>Support - Travel, Registration and Entrance (0580)</v>
          </cell>
        </row>
        <row r="12">
          <cell r="A12" t="str">
            <v>Project 3-Year 2</v>
          </cell>
          <cell r="D12" t="str">
            <v>Support - Supplies (0600)</v>
          </cell>
        </row>
        <row r="13">
          <cell r="A13" t="str">
            <v>Project 4-Year 2</v>
          </cell>
        </row>
        <row r="14">
          <cell r="A14" t="str">
            <v>Project 5-Year 2</v>
          </cell>
        </row>
        <row r="15">
          <cell r="A15" t="str">
            <v>Project 1-Year 3</v>
          </cell>
        </row>
        <row r="16">
          <cell r="A16" t="str">
            <v>Project 2-Year 3</v>
          </cell>
        </row>
        <row r="17">
          <cell r="A17" t="str">
            <v>Project 3-Year 3</v>
          </cell>
        </row>
        <row r="18">
          <cell r="A18" t="str">
            <v>Project 4-Year 3</v>
          </cell>
        </row>
        <row r="19">
          <cell r="A19" t="str">
            <v>Project 5-Year 3</v>
          </cell>
        </row>
      </sheetData>
      <sheetData sheetId="11"/>
      <sheetData sheetId="12"/>
      <sheetData sheetId="13"/>
      <sheetData sheetId="14"/>
      <sheetData sheetId="15">
        <row r="4">
          <cell r="G4">
            <v>400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</sheetPr>
  <dimension ref="A1:O21"/>
  <sheetViews>
    <sheetView tabSelected="1" workbookViewId="0">
      <selection activeCell="B17" sqref="B17"/>
    </sheetView>
  </sheetViews>
  <sheetFormatPr defaultColWidth="9.140625" defaultRowHeight="12.75" x14ac:dyDescent="0.2"/>
  <cols>
    <col min="1" max="1" width="3.7109375" style="145" customWidth="1"/>
    <col min="2" max="2" width="119.42578125" style="139" customWidth="1"/>
    <col min="3" max="16384" width="9.140625" style="139"/>
  </cols>
  <sheetData>
    <row r="1" spans="1:15" ht="6" customHeight="1" x14ac:dyDescent="0.2"/>
    <row r="2" spans="1:15" ht="26.25" x14ac:dyDescent="0.4">
      <c r="A2" s="146" t="s">
        <v>100</v>
      </c>
    </row>
    <row r="3" spans="1:15" ht="5.25" customHeight="1" x14ac:dyDescent="0.25">
      <c r="A3" s="144"/>
    </row>
    <row r="4" spans="1:15" ht="67.5" customHeight="1" x14ac:dyDescent="0.25">
      <c r="A4" s="144"/>
      <c r="B4" s="208" t="s">
        <v>180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 s="140" customFormat="1" ht="15.75" x14ac:dyDescent="0.25">
      <c r="A5" s="144">
        <v>1</v>
      </c>
      <c r="B5" s="140" t="s">
        <v>171</v>
      </c>
    </row>
    <row r="6" spans="1:15" s="140" customFormat="1" ht="15.75" x14ac:dyDescent="0.25">
      <c r="A6" s="144">
        <v>2</v>
      </c>
      <c r="B6" s="140" t="s">
        <v>170</v>
      </c>
    </row>
    <row r="7" spans="1:15" s="140" customFormat="1" ht="15.75" x14ac:dyDescent="0.25">
      <c r="A7" s="144"/>
      <c r="B7" s="140" t="s">
        <v>172</v>
      </c>
    </row>
    <row r="8" spans="1:15" s="140" customFormat="1" ht="15.75" x14ac:dyDescent="0.25">
      <c r="A8" s="144"/>
      <c r="B8" s="140" t="s">
        <v>173</v>
      </c>
    </row>
    <row r="9" spans="1:15" s="140" customFormat="1" ht="15.75" x14ac:dyDescent="0.25">
      <c r="A9" s="144"/>
      <c r="B9" s="140" t="s">
        <v>174</v>
      </c>
    </row>
    <row r="10" spans="1:15" s="140" customFormat="1" ht="15.75" x14ac:dyDescent="0.25">
      <c r="A10" s="144"/>
      <c r="B10" s="140" t="s">
        <v>175</v>
      </c>
    </row>
    <row r="11" spans="1:15" s="140" customFormat="1" ht="15.75" x14ac:dyDescent="0.25">
      <c r="A11" s="144"/>
      <c r="B11" s="141" t="s">
        <v>176</v>
      </c>
    </row>
    <row r="12" spans="1:15" s="140" customFormat="1" ht="15.75" x14ac:dyDescent="0.25">
      <c r="A12" s="144">
        <v>3</v>
      </c>
      <c r="B12" s="140" t="s">
        <v>177</v>
      </c>
    </row>
    <row r="13" spans="1:15" s="140" customFormat="1" ht="15.75" x14ac:dyDescent="0.25">
      <c r="A13" s="144">
        <v>4</v>
      </c>
      <c r="B13" s="140" t="s">
        <v>178</v>
      </c>
    </row>
    <row r="14" spans="1:15" s="140" customFormat="1" ht="15.75" x14ac:dyDescent="0.25">
      <c r="A14" s="144"/>
      <c r="B14" s="140" t="s">
        <v>99</v>
      </c>
    </row>
    <row r="15" spans="1:15" s="140" customFormat="1" ht="15.75" x14ac:dyDescent="0.25">
      <c r="A15" s="144"/>
      <c r="B15" s="140" t="s">
        <v>205</v>
      </c>
    </row>
    <row r="16" spans="1:15" s="140" customFormat="1" ht="15.75" x14ac:dyDescent="0.25">
      <c r="A16" s="144"/>
      <c r="B16" s="140" t="s">
        <v>179</v>
      </c>
    </row>
    <row r="17" spans="1:3" s="140" customFormat="1" ht="31.5" x14ac:dyDescent="0.25">
      <c r="A17" s="144">
        <v>5</v>
      </c>
      <c r="B17" s="207" t="s">
        <v>206</v>
      </c>
    </row>
    <row r="18" spans="1:3" s="140" customFormat="1" ht="15.75" x14ac:dyDescent="0.25">
      <c r="A18" s="144"/>
      <c r="B18" s="139"/>
    </row>
    <row r="19" spans="1:3" x14ac:dyDescent="0.2">
      <c r="B19" s="143"/>
    </row>
    <row r="20" spans="1:3" ht="15.75" x14ac:dyDescent="0.25">
      <c r="A20" s="144"/>
      <c r="C20" s="144"/>
    </row>
    <row r="21" spans="1:3" ht="15.75" x14ac:dyDescent="0.25">
      <c r="A21" s="147"/>
      <c r="C21" s="144"/>
    </row>
  </sheetData>
  <mergeCells count="1">
    <mergeCell ref="B4:O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30"/>
  <sheetViews>
    <sheetView zoomScale="70" zoomScaleNormal="70" workbookViewId="0">
      <selection activeCell="B26" sqref="B26"/>
    </sheetView>
  </sheetViews>
  <sheetFormatPr defaultColWidth="11.42578125" defaultRowHeight="12.75" x14ac:dyDescent="0.2"/>
  <cols>
    <col min="1" max="1" width="40.5703125" style="9" bestFit="1" customWidth="1"/>
    <col min="2" max="3" width="12.5703125" style="2" bestFit="1" customWidth="1"/>
    <col min="4" max="6" width="13" style="2" bestFit="1" customWidth="1"/>
    <col min="7" max="7" width="8" style="2" customWidth="1"/>
    <col min="8" max="16384" width="11.42578125" style="2"/>
  </cols>
  <sheetData>
    <row r="1" spans="1:14" s="64" customFormat="1" ht="18.75" x14ac:dyDescent="0.3">
      <c r="A1" s="65" t="s">
        <v>64</v>
      </c>
    </row>
    <row r="2" spans="1:14" ht="15.75" x14ac:dyDescent="0.25">
      <c r="J2" s="64"/>
      <c r="K2" s="64"/>
      <c r="L2" s="64"/>
      <c r="M2" s="64"/>
      <c r="N2" s="64"/>
    </row>
    <row r="3" spans="1:14" ht="15.75" x14ac:dyDescent="0.25">
      <c r="A3" s="41"/>
      <c r="B3" s="209" t="s">
        <v>166</v>
      </c>
      <c r="C3" s="209"/>
      <c r="D3" s="209"/>
      <c r="E3" s="209"/>
      <c r="F3" s="209"/>
      <c r="G3" s="42"/>
      <c r="J3" s="64"/>
      <c r="K3" s="64"/>
      <c r="L3" s="64"/>
      <c r="M3" s="64"/>
      <c r="N3" s="64"/>
    </row>
    <row r="4" spans="1:14" ht="15.75" x14ac:dyDescent="0.25">
      <c r="A4" s="43"/>
      <c r="B4" s="10" t="s">
        <v>162</v>
      </c>
      <c r="C4" s="10" t="s">
        <v>163</v>
      </c>
      <c r="D4" s="10" t="s">
        <v>164</v>
      </c>
      <c r="E4" s="10" t="s">
        <v>165</v>
      </c>
      <c r="F4" s="10" t="s">
        <v>181</v>
      </c>
      <c r="G4" s="44"/>
      <c r="J4" s="64"/>
      <c r="K4" s="64"/>
      <c r="L4" s="64"/>
      <c r="M4" s="64"/>
      <c r="N4" s="64"/>
    </row>
    <row r="5" spans="1:14" ht="15.75" x14ac:dyDescent="0.25">
      <c r="A5" s="194" t="s">
        <v>148</v>
      </c>
      <c r="B5" s="191">
        <v>0</v>
      </c>
      <c r="C5" s="191">
        <v>0</v>
      </c>
      <c r="D5" s="191">
        <v>0</v>
      </c>
      <c r="E5" s="191">
        <v>0</v>
      </c>
      <c r="F5" s="191">
        <v>0</v>
      </c>
      <c r="G5" s="107"/>
      <c r="J5" s="64"/>
      <c r="K5" s="64"/>
      <c r="L5" s="64"/>
      <c r="M5" s="64"/>
      <c r="N5" s="64"/>
    </row>
    <row r="6" spans="1:14" ht="15.75" x14ac:dyDescent="0.25">
      <c r="A6" s="194" t="s">
        <v>147</v>
      </c>
      <c r="B6" s="191">
        <v>0</v>
      </c>
      <c r="C6" s="191">
        <v>0</v>
      </c>
      <c r="D6" s="191">
        <v>0</v>
      </c>
      <c r="E6" s="191">
        <v>0</v>
      </c>
      <c r="F6" s="191">
        <v>0</v>
      </c>
      <c r="G6" s="44"/>
      <c r="J6" s="64"/>
      <c r="K6" s="64"/>
      <c r="L6" s="64"/>
      <c r="M6" s="64"/>
      <c r="N6" s="64"/>
    </row>
    <row r="7" spans="1:14" ht="15.75" x14ac:dyDescent="0.25">
      <c r="A7" s="194" t="s">
        <v>149</v>
      </c>
      <c r="B7" s="191">
        <v>0</v>
      </c>
      <c r="C7" s="191">
        <v>0</v>
      </c>
      <c r="D7" s="191">
        <v>0</v>
      </c>
      <c r="E7" s="191">
        <v>0</v>
      </c>
      <c r="F7" s="191">
        <v>0</v>
      </c>
      <c r="G7" s="44"/>
      <c r="J7" s="64"/>
      <c r="K7" s="64"/>
      <c r="L7" s="64"/>
      <c r="M7" s="64"/>
      <c r="N7" s="64"/>
    </row>
    <row r="8" spans="1:14" ht="15.75" x14ac:dyDescent="0.25">
      <c r="A8" s="194" t="s">
        <v>151</v>
      </c>
      <c r="B8" s="191">
        <v>0</v>
      </c>
      <c r="C8" s="191">
        <v>0</v>
      </c>
      <c r="D8" s="191">
        <v>0</v>
      </c>
      <c r="E8" s="191">
        <v>0</v>
      </c>
      <c r="F8" s="191">
        <v>0</v>
      </c>
      <c r="G8" s="44"/>
      <c r="J8" s="64"/>
      <c r="K8" s="64"/>
      <c r="L8" s="64"/>
      <c r="M8" s="64"/>
      <c r="N8" s="64"/>
    </row>
    <row r="9" spans="1:14" ht="15.75" x14ac:dyDescent="0.25">
      <c r="A9" s="194" t="s">
        <v>152</v>
      </c>
      <c r="B9" s="191">
        <v>0</v>
      </c>
      <c r="C9" s="191">
        <v>0</v>
      </c>
      <c r="D9" s="191">
        <v>0</v>
      </c>
      <c r="E9" s="191">
        <v>0</v>
      </c>
      <c r="F9" s="191">
        <v>0</v>
      </c>
      <c r="G9" s="44"/>
      <c r="J9" s="64"/>
      <c r="K9" s="64"/>
      <c r="L9" s="64"/>
      <c r="M9" s="64"/>
      <c r="N9" s="64"/>
    </row>
    <row r="10" spans="1:14" ht="15.75" x14ac:dyDescent="0.25">
      <c r="A10" s="194" t="s">
        <v>153</v>
      </c>
      <c r="B10" s="191">
        <v>0</v>
      </c>
      <c r="C10" s="191">
        <v>0</v>
      </c>
      <c r="D10" s="191">
        <v>0</v>
      </c>
      <c r="E10" s="191">
        <v>0</v>
      </c>
      <c r="F10" s="191">
        <v>0</v>
      </c>
      <c r="G10" s="44"/>
      <c r="J10" s="64"/>
      <c r="K10" s="64"/>
      <c r="L10" s="64"/>
      <c r="M10" s="64"/>
      <c r="N10" s="64"/>
    </row>
    <row r="11" spans="1:14" ht="15.75" x14ac:dyDescent="0.25">
      <c r="A11" s="194" t="s">
        <v>154</v>
      </c>
      <c r="B11" s="191">
        <v>0</v>
      </c>
      <c r="C11" s="191">
        <v>0</v>
      </c>
      <c r="D11" s="191">
        <v>0</v>
      </c>
      <c r="E11" s="191">
        <v>0</v>
      </c>
      <c r="F11" s="191">
        <v>0</v>
      </c>
      <c r="G11" s="44"/>
      <c r="J11" s="64"/>
      <c r="K11" s="64"/>
      <c r="L11" s="64"/>
      <c r="M11" s="64"/>
      <c r="N11" s="64"/>
    </row>
    <row r="12" spans="1:14" ht="15.75" x14ac:dyDescent="0.25">
      <c r="A12" s="194" t="s">
        <v>155</v>
      </c>
      <c r="B12" s="191">
        <v>0</v>
      </c>
      <c r="C12" s="191">
        <v>0</v>
      </c>
      <c r="D12" s="191">
        <v>0</v>
      </c>
      <c r="E12" s="191">
        <v>0</v>
      </c>
      <c r="F12" s="191">
        <v>0</v>
      </c>
      <c r="G12" s="44"/>
      <c r="J12" s="64"/>
      <c r="K12" s="64"/>
      <c r="L12" s="64"/>
      <c r="M12" s="64"/>
      <c r="N12" s="64"/>
    </row>
    <row r="13" spans="1:14" ht="15.75" x14ac:dyDescent="0.25">
      <c r="A13" s="194" t="s">
        <v>161</v>
      </c>
      <c r="B13" s="191">
        <v>0</v>
      </c>
      <c r="C13" s="191">
        <v>0</v>
      </c>
      <c r="D13" s="191">
        <v>0</v>
      </c>
      <c r="E13" s="191">
        <v>0</v>
      </c>
      <c r="F13" s="191">
        <v>0</v>
      </c>
      <c r="G13" s="44"/>
      <c r="J13" s="64"/>
      <c r="K13" s="64"/>
      <c r="L13" s="64"/>
      <c r="M13" s="64"/>
      <c r="N13" s="64"/>
    </row>
    <row r="14" spans="1:14" ht="15.75" x14ac:dyDescent="0.25">
      <c r="A14" s="194" t="s">
        <v>156</v>
      </c>
      <c r="B14" s="191">
        <v>0</v>
      </c>
      <c r="C14" s="191">
        <v>0</v>
      </c>
      <c r="D14" s="191">
        <v>0</v>
      </c>
      <c r="E14" s="191">
        <v>0</v>
      </c>
      <c r="F14" s="191">
        <v>0</v>
      </c>
      <c r="G14" s="44"/>
      <c r="J14" s="64"/>
      <c r="K14" s="64"/>
      <c r="L14" s="64"/>
      <c r="M14" s="64"/>
      <c r="N14" s="64"/>
    </row>
    <row r="15" spans="1:14" ht="15.75" x14ac:dyDescent="0.25">
      <c r="A15" s="194" t="s">
        <v>157</v>
      </c>
      <c r="B15" s="191">
        <v>0</v>
      </c>
      <c r="C15" s="191">
        <v>0</v>
      </c>
      <c r="D15" s="191">
        <v>0</v>
      </c>
      <c r="E15" s="191">
        <v>0</v>
      </c>
      <c r="F15" s="191">
        <v>0</v>
      </c>
      <c r="G15" s="44"/>
      <c r="J15" s="64"/>
      <c r="K15" s="64"/>
      <c r="L15" s="64"/>
      <c r="M15" s="64"/>
      <c r="N15" s="64"/>
    </row>
    <row r="16" spans="1:14" ht="15.75" x14ac:dyDescent="0.25">
      <c r="A16" s="194" t="s">
        <v>158</v>
      </c>
      <c r="B16" s="191">
        <v>0</v>
      </c>
      <c r="C16" s="191">
        <v>0</v>
      </c>
      <c r="D16" s="191">
        <v>0</v>
      </c>
      <c r="E16" s="191">
        <v>0</v>
      </c>
      <c r="F16" s="191">
        <v>0</v>
      </c>
      <c r="G16" s="44"/>
      <c r="J16" s="64"/>
      <c r="K16" s="64"/>
      <c r="L16" s="64"/>
      <c r="M16" s="64"/>
      <c r="N16" s="64"/>
    </row>
    <row r="17" spans="1:14" ht="15.75" x14ac:dyDescent="0.25">
      <c r="A17" s="194" t="s">
        <v>159</v>
      </c>
      <c r="B17" s="191">
        <v>0</v>
      </c>
      <c r="C17" s="191">
        <v>0</v>
      </c>
      <c r="D17" s="191">
        <v>0</v>
      </c>
      <c r="E17" s="191">
        <v>0</v>
      </c>
      <c r="F17" s="191">
        <v>0</v>
      </c>
      <c r="G17" s="44"/>
      <c r="J17" s="64"/>
      <c r="K17" s="64"/>
      <c r="L17" s="64"/>
      <c r="M17" s="64"/>
      <c r="N17" s="64"/>
    </row>
    <row r="18" spans="1:14" ht="16.5" thickBot="1" x14ac:dyDescent="0.3">
      <c r="A18" s="194" t="s">
        <v>160</v>
      </c>
      <c r="B18" s="192">
        <v>0</v>
      </c>
      <c r="C18" s="192">
        <v>0</v>
      </c>
      <c r="D18" s="192">
        <v>0</v>
      </c>
      <c r="E18" s="192">
        <v>0</v>
      </c>
      <c r="F18" s="192">
        <v>0</v>
      </c>
      <c r="G18" s="44"/>
      <c r="J18" s="64"/>
      <c r="K18" s="64"/>
      <c r="L18" s="64"/>
      <c r="M18" s="64"/>
      <c r="N18" s="64"/>
    </row>
    <row r="19" spans="1:14" x14ac:dyDescent="0.2">
      <c r="A19" s="45" t="s">
        <v>150</v>
      </c>
      <c r="B19" s="193">
        <f>SUM(B5:B18)</f>
        <v>0</v>
      </c>
      <c r="C19" s="193">
        <f>SUM(C5:C18)</f>
        <v>0</v>
      </c>
      <c r="D19" s="193">
        <f>SUM(D5:D18)</f>
        <v>0</v>
      </c>
      <c r="E19" s="193">
        <f>SUM(E5:E18)</f>
        <v>0</v>
      </c>
      <c r="F19" s="193">
        <f>SUM(F5:F18)</f>
        <v>0</v>
      </c>
      <c r="G19" s="44"/>
    </row>
    <row r="20" spans="1:14" x14ac:dyDescent="0.2">
      <c r="A20" s="45"/>
      <c r="B20" s="51"/>
      <c r="C20" s="51"/>
      <c r="D20" s="51"/>
      <c r="E20" s="51"/>
      <c r="F20" s="51"/>
      <c r="G20" s="44"/>
    </row>
    <row r="21" spans="1:14" x14ac:dyDescent="0.2">
      <c r="A21" s="45" t="s">
        <v>144</v>
      </c>
      <c r="B21" s="189"/>
      <c r="C21" s="189"/>
      <c r="D21" s="189"/>
      <c r="E21" s="189"/>
      <c r="F21" s="189"/>
      <c r="G21" s="44"/>
    </row>
    <row r="22" spans="1:14" x14ac:dyDescent="0.2">
      <c r="A22" s="45"/>
      <c r="B22" s="51"/>
      <c r="C22" s="51"/>
      <c r="D22" s="51"/>
      <c r="E22" s="51"/>
      <c r="F22" s="51"/>
      <c r="G22" s="44"/>
    </row>
    <row r="23" spans="1:14" x14ac:dyDescent="0.2">
      <c r="A23" s="45" t="s">
        <v>145</v>
      </c>
      <c r="B23" s="189"/>
      <c r="C23" s="189"/>
      <c r="D23" s="189"/>
      <c r="E23" s="189"/>
      <c r="F23" s="189"/>
      <c r="G23" s="44"/>
    </row>
    <row r="24" spans="1:14" x14ac:dyDescent="0.2">
      <c r="A24" s="45"/>
      <c r="B24" s="11"/>
      <c r="C24" s="11"/>
      <c r="D24" s="11"/>
      <c r="E24" s="11"/>
      <c r="F24" s="11"/>
      <c r="G24" s="44"/>
    </row>
    <row r="25" spans="1:14" x14ac:dyDescent="0.2">
      <c r="A25" s="45" t="s">
        <v>146</v>
      </c>
      <c r="B25" s="190">
        <f>(B6*0.58)+SUM(B7:B18)+B21*0.5+B23*0.5</f>
        <v>0</v>
      </c>
      <c r="C25" s="190">
        <f t="shared" ref="C25:F25" si="0">(C6*0.58)+SUM(C7:C18)+C21*0.5+C23*0.5</f>
        <v>0</v>
      </c>
      <c r="D25" s="190">
        <f t="shared" si="0"/>
        <v>0</v>
      </c>
      <c r="E25" s="190">
        <f t="shared" si="0"/>
        <v>0</v>
      </c>
      <c r="F25" s="190">
        <f t="shared" si="0"/>
        <v>0</v>
      </c>
      <c r="G25" s="44"/>
    </row>
    <row r="26" spans="1:14" x14ac:dyDescent="0.2">
      <c r="A26" s="103"/>
      <c r="B26" s="46"/>
      <c r="C26" s="46"/>
      <c r="D26" s="46"/>
      <c r="E26" s="46"/>
      <c r="F26" s="46"/>
      <c r="G26" s="47"/>
    </row>
    <row r="28" spans="1:14" x14ac:dyDescent="0.2">
      <c r="A28" s="62"/>
      <c r="B28" s="63"/>
      <c r="C28" s="63"/>
      <c r="D28" s="63"/>
      <c r="E28" s="63"/>
      <c r="F28" s="63"/>
      <c r="G28" s="63"/>
    </row>
    <row r="29" spans="1:14" x14ac:dyDescent="0.2">
      <c r="A29" s="62"/>
      <c r="B29" s="63"/>
      <c r="C29" s="63"/>
      <c r="D29" s="63"/>
      <c r="E29" s="63"/>
      <c r="F29" s="63"/>
    </row>
    <row r="30" spans="1:14" x14ac:dyDescent="0.2">
      <c r="A30" s="62"/>
      <c r="B30" s="63"/>
      <c r="C30" s="63"/>
      <c r="D30" s="63"/>
      <c r="E30" s="63"/>
      <c r="F30" s="63"/>
    </row>
  </sheetData>
  <mergeCells count="1">
    <mergeCell ref="B3:F3"/>
  </mergeCells>
  <phoneticPr fontId="2" type="noConversion"/>
  <printOptions horizontalCentered="1"/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G119"/>
  <sheetViews>
    <sheetView zoomScale="80" zoomScaleNormal="80" workbookViewId="0">
      <selection activeCell="A26" sqref="A26"/>
    </sheetView>
  </sheetViews>
  <sheetFormatPr defaultColWidth="11.42578125" defaultRowHeight="12.75" x14ac:dyDescent="0.2"/>
  <cols>
    <col min="1" max="1" width="33.28515625" style="2" customWidth="1"/>
    <col min="2" max="3" width="12" style="2" bestFit="1" customWidth="1"/>
    <col min="4" max="4" width="12" style="1" bestFit="1" customWidth="1"/>
    <col min="5" max="6" width="12" style="8" bestFit="1" customWidth="1"/>
    <col min="7" max="7" width="2" style="1" customWidth="1"/>
    <col min="8" max="8" width="10.7109375" style="1" customWidth="1"/>
    <col min="9" max="9" width="1.7109375" style="1" customWidth="1"/>
    <col min="10" max="33" width="9.140625" style="1" customWidth="1"/>
    <col min="34" max="16384" width="11.42578125" style="2"/>
  </cols>
  <sheetData>
    <row r="1" spans="1:33" ht="18.75" x14ac:dyDescent="0.3">
      <c r="A1" s="66"/>
      <c r="D1" s="119" t="s">
        <v>77</v>
      </c>
      <c r="E1" s="119"/>
      <c r="F1" s="119"/>
      <c r="G1" s="119"/>
      <c r="H1" s="119"/>
    </row>
    <row r="2" spans="1:33" ht="18.75" x14ac:dyDescent="0.3">
      <c r="A2" s="66" t="s">
        <v>65</v>
      </c>
      <c r="E2" s="1"/>
      <c r="F2" s="1"/>
    </row>
    <row r="3" spans="1:33" x14ac:dyDescent="0.2">
      <c r="E3" s="1"/>
      <c r="F3" s="1"/>
    </row>
    <row r="4" spans="1:33" s="4" customFormat="1" ht="18.75" customHeight="1" x14ac:dyDescent="0.2">
      <c r="A4" s="68"/>
      <c r="B4" s="67" t="str">
        <f>'Enrollment Forecast'!B4</f>
        <v>FY 2018-19</v>
      </c>
      <c r="C4" s="67" t="str">
        <f>'Enrollment Forecast'!C4</f>
        <v>FY 2019-20</v>
      </c>
      <c r="D4" s="67" t="str">
        <f>'Enrollment Forecast'!D4</f>
        <v>FY 2020-21</v>
      </c>
      <c r="E4" s="67" t="str">
        <f>'Enrollment Forecast'!E4</f>
        <v>FY 2021-22</v>
      </c>
      <c r="F4" s="67" t="str">
        <f>'Enrollment Forecast'!F4</f>
        <v>FY 2022-23</v>
      </c>
      <c r="G4" s="69"/>
      <c r="H4" s="210" t="s">
        <v>43</v>
      </c>
      <c r="I4" s="7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3" ht="19.5" customHeight="1" x14ac:dyDescent="0.2">
      <c r="A5" s="90" t="s">
        <v>95</v>
      </c>
      <c r="B5" s="204">
        <f>'Enrollment Forecast'!B19</f>
        <v>0</v>
      </c>
      <c r="C5" s="204">
        <f>'Enrollment Forecast'!C19</f>
        <v>0</v>
      </c>
      <c r="D5" s="204">
        <f>'Enrollment Forecast'!D19</f>
        <v>0</v>
      </c>
      <c r="E5" s="204">
        <f>'Enrollment Forecast'!E19</f>
        <v>0</v>
      </c>
      <c r="F5" s="204">
        <f>'Enrollment Forecast'!F19</f>
        <v>0</v>
      </c>
      <c r="G5" s="70"/>
      <c r="H5" s="211"/>
      <c r="I5" s="44"/>
      <c r="AF5" s="2"/>
      <c r="AG5" s="2"/>
    </row>
    <row r="6" spans="1:33" s="6" customFormat="1" x14ac:dyDescent="0.2">
      <c r="A6" s="111" t="s">
        <v>78</v>
      </c>
      <c r="B6" s="118">
        <v>0</v>
      </c>
      <c r="C6" s="118">
        <v>0</v>
      </c>
      <c r="D6" s="118">
        <v>0</v>
      </c>
      <c r="E6" s="118">
        <v>0</v>
      </c>
      <c r="F6" s="126">
        <v>0</v>
      </c>
      <c r="G6" s="12"/>
      <c r="H6" s="114">
        <v>0</v>
      </c>
      <c r="I6" s="72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3" s="6" customFormat="1" x14ac:dyDescent="0.2">
      <c r="A7" s="111"/>
      <c r="B7" s="123"/>
      <c r="C7" s="123"/>
      <c r="D7" s="123"/>
      <c r="E7" s="123"/>
      <c r="F7" s="123"/>
      <c r="G7" s="12"/>
      <c r="H7" s="115"/>
      <c r="I7" s="72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3" s="6" customFormat="1" x14ac:dyDescent="0.2">
      <c r="A8" s="111"/>
      <c r="B8" s="118"/>
      <c r="C8" s="118"/>
      <c r="D8" s="118"/>
      <c r="E8" s="118"/>
      <c r="F8" s="123"/>
      <c r="G8" s="105"/>
      <c r="H8" s="115"/>
      <c r="I8" s="7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3" x14ac:dyDescent="0.2">
      <c r="A9" s="112"/>
      <c r="B9" s="118"/>
      <c r="C9" s="118"/>
      <c r="D9" s="118"/>
      <c r="E9" s="118"/>
      <c r="F9" s="123"/>
      <c r="G9" s="11"/>
      <c r="H9" s="115"/>
      <c r="I9" s="72"/>
    </row>
    <row r="10" spans="1:33" x14ac:dyDescent="0.2">
      <c r="A10" s="112"/>
      <c r="B10" s="118"/>
      <c r="C10" s="123"/>
      <c r="D10" s="125"/>
      <c r="E10" s="118"/>
      <c r="F10" s="123"/>
      <c r="G10" s="11"/>
      <c r="H10" s="115"/>
      <c r="I10" s="72"/>
    </row>
    <row r="11" spans="1:33" x14ac:dyDescent="0.2">
      <c r="A11" s="112"/>
      <c r="B11" s="118"/>
      <c r="C11" s="123"/>
      <c r="D11" s="125"/>
      <c r="E11" s="118"/>
      <c r="F11" s="123"/>
      <c r="G11" s="11"/>
      <c r="H11" s="115"/>
      <c r="I11" s="72"/>
    </row>
    <row r="12" spans="1:33" x14ac:dyDescent="0.2">
      <c r="A12" s="112"/>
      <c r="B12" s="118"/>
      <c r="C12" s="123"/>
      <c r="D12" s="125"/>
      <c r="E12" s="118"/>
      <c r="F12" s="123"/>
      <c r="G12" s="11"/>
      <c r="H12" s="115"/>
      <c r="I12" s="72"/>
    </row>
    <row r="13" spans="1:33" x14ac:dyDescent="0.2">
      <c r="A13" s="112"/>
      <c r="B13" s="118"/>
      <c r="C13" s="123"/>
      <c r="D13" s="125"/>
      <c r="E13" s="118"/>
      <c r="F13" s="123"/>
      <c r="G13" s="11"/>
      <c r="H13" s="115"/>
      <c r="I13" s="72"/>
    </row>
    <row r="14" spans="1:33" x14ac:dyDescent="0.2">
      <c r="A14" s="113"/>
      <c r="B14" s="123"/>
      <c r="C14" s="123"/>
      <c r="D14" s="123"/>
      <c r="E14" s="123"/>
      <c r="F14" s="123"/>
      <c r="G14" s="11"/>
      <c r="H14" s="116"/>
      <c r="I14" s="72"/>
      <c r="J14" s="1" t="s">
        <v>51</v>
      </c>
    </row>
    <row r="15" spans="1:33" s="7" customFormat="1" x14ac:dyDescent="0.2">
      <c r="A15" s="73" t="s">
        <v>96</v>
      </c>
      <c r="B15" s="127">
        <f t="shared" ref="B15:F15" si="0">SUM(B6:B14)</f>
        <v>0</v>
      </c>
      <c r="C15" s="127">
        <f t="shared" si="0"/>
        <v>0</v>
      </c>
      <c r="D15" s="127">
        <f t="shared" si="0"/>
        <v>0</v>
      </c>
      <c r="E15" s="127">
        <f t="shared" si="0"/>
        <v>0</v>
      </c>
      <c r="F15" s="127">
        <f t="shared" si="0"/>
        <v>0</v>
      </c>
      <c r="G15" s="11"/>
      <c r="H15" s="14"/>
      <c r="I15" s="7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s="1" customFormat="1" x14ac:dyDescent="0.2">
      <c r="A16" s="74"/>
      <c r="B16" s="12"/>
      <c r="C16" s="12"/>
      <c r="D16" s="12"/>
      <c r="E16" s="12"/>
      <c r="F16" s="12"/>
      <c r="G16" s="11"/>
      <c r="H16" s="14"/>
      <c r="I16" s="72"/>
    </row>
    <row r="17" spans="1:33" s="1" customFormat="1" x14ac:dyDescent="0.2">
      <c r="A17" s="90" t="s">
        <v>193</v>
      </c>
      <c r="B17" s="204">
        <f>'Enrollment Forecast'!B9</f>
        <v>0</v>
      </c>
      <c r="C17" s="204">
        <f>'Enrollment Forecast'!C9</f>
        <v>0</v>
      </c>
      <c r="D17" s="204">
        <f>'Enrollment Forecast'!D9</f>
        <v>0</v>
      </c>
      <c r="E17" s="204">
        <f>'Enrollment Forecast'!E9</f>
        <v>0</v>
      </c>
      <c r="F17" s="204">
        <f>'Enrollment Forecast'!F9</f>
        <v>0</v>
      </c>
      <c r="G17" s="11"/>
      <c r="H17" s="14"/>
      <c r="I17" s="72"/>
    </row>
    <row r="18" spans="1:33" s="1" customFormat="1" x14ac:dyDescent="0.2">
      <c r="A18" s="111" t="s">
        <v>194</v>
      </c>
      <c r="B18" s="122">
        <v>0</v>
      </c>
      <c r="C18" s="122">
        <v>0</v>
      </c>
      <c r="D18" s="123">
        <v>0</v>
      </c>
      <c r="E18" s="118">
        <v>0</v>
      </c>
      <c r="F18" s="123">
        <v>0</v>
      </c>
      <c r="G18" s="11"/>
      <c r="H18" s="114">
        <v>0</v>
      </c>
      <c r="I18" s="72"/>
    </row>
    <row r="19" spans="1:33" s="1" customFormat="1" ht="14.45" customHeight="1" x14ac:dyDescent="0.2">
      <c r="A19" s="111" t="s">
        <v>195</v>
      </c>
      <c r="B19" s="118"/>
      <c r="C19" s="118"/>
      <c r="D19" s="123"/>
      <c r="E19" s="123"/>
      <c r="F19" s="123"/>
      <c r="G19" s="11"/>
      <c r="H19" s="115"/>
      <c r="I19" s="72"/>
    </row>
    <row r="20" spans="1:33" s="1" customFormat="1" ht="14.45" customHeight="1" x14ac:dyDescent="0.2">
      <c r="A20" s="112" t="s">
        <v>196</v>
      </c>
      <c r="B20" s="118"/>
      <c r="C20" s="118"/>
      <c r="D20" s="123"/>
      <c r="E20" s="123"/>
      <c r="F20" s="123"/>
      <c r="G20" s="11"/>
      <c r="H20" s="115"/>
      <c r="I20" s="72"/>
    </row>
    <row r="21" spans="1:33" s="1" customFormat="1" ht="14.45" customHeight="1" x14ac:dyDescent="0.2">
      <c r="A21" s="117" t="s">
        <v>197</v>
      </c>
      <c r="B21" s="118"/>
      <c r="C21" s="118"/>
      <c r="D21" s="123"/>
      <c r="E21" s="123"/>
      <c r="F21" s="123"/>
      <c r="G21" s="11"/>
      <c r="H21" s="115"/>
      <c r="I21" s="72"/>
    </row>
    <row r="22" spans="1:33" s="1" customFormat="1" ht="14.45" customHeight="1" x14ac:dyDescent="0.2">
      <c r="A22" s="112"/>
      <c r="B22" s="118"/>
      <c r="C22" s="118"/>
      <c r="D22" s="123"/>
      <c r="E22" s="123"/>
      <c r="F22" s="123"/>
      <c r="G22" s="11"/>
      <c r="H22" s="115"/>
      <c r="I22" s="72"/>
    </row>
    <row r="23" spans="1:33" s="1" customFormat="1" ht="14.45" customHeight="1" x14ac:dyDescent="0.2">
      <c r="A23" s="112"/>
      <c r="B23" s="118"/>
      <c r="C23" s="118"/>
      <c r="D23" s="123"/>
      <c r="E23" s="123"/>
      <c r="F23" s="123"/>
      <c r="G23" s="11"/>
      <c r="H23" s="115"/>
      <c r="I23" s="72"/>
    </row>
    <row r="24" spans="1:33" s="1" customFormat="1" x14ac:dyDescent="0.2">
      <c r="A24" s="112"/>
      <c r="B24" s="118"/>
      <c r="C24" s="118"/>
      <c r="D24" s="123"/>
      <c r="E24" s="123"/>
      <c r="F24" s="123"/>
      <c r="G24" s="11"/>
      <c r="H24" s="115"/>
      <c r="I24" s="72"/>
    </row>
    <row r="25" spans="1:33" s="1" customFormat="1" x14ac:dyDescent="0.2">
      <c r="A25" s="117"/>
      <c r="B25" s="118"/>
      <c r="C25" s="118"/>
      <c r="D25" s="123"/>
      <c r="E25" s="123"/>
      <c r="F25" s="123"/>
      <c r="G25" s="11"/>
      <c r="H25" s="115"/>
      <c r="I25" s="72"/>
    </row>
    <row r="26" spans="1:33" s="1" customFormat="1" x14ac:dyDescent="0.2">
      <c r="A26" s="112"/>
      <c r="B26" s="118"/>
      <c r="C26" s="123"/>
      <c r="D26" s="124"/>
      <c r="E26" s="123"/>
      <c r="F26" s="123"/>
      <c r="G26" s="11"/>
      <c r="H26" s="115"/>
      <c r="I26" s="72"/>
    </row>
    <row r="27" spans="1:33" s="1" customFormat="1" x14ac:dyDescent="0.2">
      <c r="A27" s="112"/>
      <c r="B27" s="123"/>
      <c r="C27" s="123"/>
      <c r="D27" s="124"/>
      <c r="E27" s="123"/>
      <c r="F27" s="123"/>
      <c r="G27" s="11"/>
      <c r="H27" s="115"/>
      <c r="I27" s="72"/>
    </row>
    <row r="28" spans="1:33" s="1" customFormat="1" x14ac:dyDescent="0.2">
      <c r="A28" s="112"/>
      <c r="B28" s="123"/>
      <c r="C28" s="123"/>
      <c r="D28" s="125"/>
      <c r="E28" s="118"/>
      <c r="F28" s="123"/>
      <c r="G28" s="11"/>
      <c r="H28" s="115"/>
      <c r="I28" s="72"/>
    </row>
    <row r="29" spans="1:33" s="1" customFormat="1" x14ac:dyDescent="0.2">
      <c r="A29" s="112"/>
      <c r="B29" s="118"/>
      <c r="C29" s="123"/>
      <c r="D29" s="125"/>
      <c r="E29" s="118"/>
      <c r="F29" s="123"/>
      <c r="G29" s="11"/>
      <c r="H29" s="116"/>
      <c r="I29" s="72"/>
    </row>
    <row r="30" spans="1:33" s="7" customFormat="1" x14ac:dyDescent="0.2">
      <c r="A30" s="73" t="s">
        <v>198</v>
      </c>
      <c r="B30" s="127">
        <f>SUM(B18:B29)</f>
        <v>0</v>
      </c>
      <c r="C30" s="127">
        <f t="shared" ref="C30:F30" si="1">SUM(C18:C29)</f>
        <v>0</v>
      </c>
      <c r="D30" s="127">
        <f t="shared" si="1"/>
        <v>0</v>
      </c>
      <c r="E30" s="127">
        <f t="shared" si="1"/>
        <v>0</v>
      </c>
      <c r="F30" s="127">
        <f t="shared" si="1"/>
        <v>0</v>
      </c>
      <c r="G30" s="11"/>
      <c r="H30" s="14"/>
      <c r="I30" s="7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s="1" customFormat="1" x14ac:dyDescent="0.2">
      <c r="A31" s="74"/>
      <c r="B31" s="12"/>
      <c r="C31" s="12"/>
      <c r="D31" s="12"/>
      <c r="E31" s="12"/>
      <c r="F31" s="12"/>
      <c r="G31" s="11"/>
      <c r="H31" s="14"/>
      <c r="I31" s="72"/>
    </row>
    <row r="32" spans="1:33" s="6" customFormat="1" ht="15.75" customHeight="1" x14ac:dyDescent="0.2">
      <c r="A32" s="90" t="s">
        <v>44</v>
      </c>
      <c r="B32" s="204">
        <f>'Enrollment Forecast'!B19</f>
        <v>0</v>
      </c>
      <c r="C32" s="204">
        <f>'Enrollment Forecast'!C19</f>
        <v>0</v>
      </c>
      <c r="D32" s="204">
        <f>'Enrollment Forecast'!D19</f>
        <v>0</v>
      </c>
      <c r="E32" s="204">
        <f>'Enrollment Forecast'!E19</f>
        <v>0</v>
      </c>
      <c r="F32" s="204">
        <f>'Enrollment Forecast'!F19</f>
        <v>0</v>
      </c>
      <c r="G32" s="12"/>
      <c r="H32" s="15"/>
      <c r="I32" s="7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x14ac:dyDescent="0.2">
      <c r="A33" s="111" t="s">
        <v>79</v>
      </c>
      <c r="B33" s="122">
        <v>0</v>
      </c>
      <c r="C33" s="122">
        <v>0</v>
      </c>
      <c r="D33" s="123">
        <v>0</v>
      </c>
      <c r="E33" s="118">
        <v>0</v>
      </c>
      <c r="F33" s="123">
        <v>0</v>
      </c>
      <c r="G33" s="13"/>
      <c r="H33" s="114">
        <v>0</v>
      </c>
      <c r="I33" s="72"/>
    </row>
    <row r="34" spans="1:33" x14ac:dyDescent="0.2">
      <c r="A34" s="111" t="s">
        <v>199</v>
      </c>
      <c r="B34" s="118"/>
      <c r="C34" s="118"/>
      <c r="D34" s="123"/>
      <c r="E34" s="123"/>
      <c r="F34" s="123"/>
      <c r="G34" s="13"/>
      <c r="H34" s="115"/>
      <c r="I34" s="72"/>
      <c r="K34" s="1" t="s">
        <v>51</v>
      </c>
    </row>
    <row r="35" spans="1:33" x14ac:dyDescent="0.2">
      <c r="A35" s="112"/>
      <c r="B35" s="118"/>
      <c r="C35" s="118"/>
      <c r="D35" s="123"/>
      <c r="E35" s="123"/>
      <c r="F35" s="123"/>
      <c r="G35" s="13"/>
      <c r="H35" s="115"/>
      <c r="I35" s="72"/>
    </row>
    <row r="36" spans="1:33" x14ac:dyDescent="0.2">
      <c r="A36" s="117"/>
      <c r="B36" s="118"/>
      <c r="C36" s="118"/>
      <c r="D36" s="123"/>
      <c r="E36" s="123"/>
      <c r="F36" s="123"/>
      <c r="G36" s="13" t="s">
        <v>51</v>
      </c>
      <c r="H36" s="115"/>
      <c r="I36" s="72"/>
    </row>
    <row r="37" spans="1:33" x14ac:dyDescent="0.2">
      <c r="A37" s="112"/>
      <c r="B37" s="118"/>
      <c r="C37" s="123"/>
      <c r="D37" s="124"/>
      <c r="E37" s="123"/>
      <c r="F37" s="123"/>
      <c r="G37" s="13"/>
      <c r="H37" s="115"/>
      <c r="I37" s="72"/>
    </row>
    <row r="38" spans="1:33" x14ac:dyDescent="0.2">
      <c r="A38" s="112"/>
      <c r="B38" s="123"/>
      <c r="C38" s="123"/>
      <c r="D38" s="124"/>
      <c r="E38" s="123"/>
      <c r="F38" s="123"/>
      <c r="G38" s="13"/>
      <c r="H38" s="115"/>
      <c r="I38" s="72"/>
    </row>
    <row r="39" spans="1:33" x14ac:dyDescent="0.2">
      <c r="A39" s="112"/>
      <c r="B39" s="123"/>
      <c r="C39" s="123"/>
      <c r="D39" s="125"/>
      <c r="E39" s="118"/>
      <c r="F39" s="123"/>
      <c r="G39" s="13"/>
      <c r="H39" s="115"/>
      <c r="I39" s="72"/>
    </row>
    <row r="40" spans="1:33" x14ac:dyDescent="0.2">
      <c r="A40" s="112"/>
      <c r="B40" s="118"/>
      <c r="C40" s="123"/>
      <c r="D40" s="125"/>
      <c r="E40" s="118"/>
      <c r="F40" s="123"/>
      <c r="G40" s="13"/>
      <c r="H40" s="115"/>
      <c r="I40" s="72"/>
    </row>
    <row r="41" spans="1:33" x14ac:dyDescent="0.2">
      <c r="A41" s="112"/>
      <c r="B41" s="118"/>
      <c r="C41" s="123"/>
      <c r="D41" s="125"/>
      <c r="E41" s="118"/>
      <c r="F41" s="123"/>
      <c r="G41" s="13"/>
      <c r="H41" s="115"/>
      <c r="I41" s="72"/>
    </row>
    <row r="42" spans="1:33" x14ac:dyDescent="0.2">
      <c r="A42" s="94" t="s">
        <v>67</v>
      </c>
      <c r="B42" s="95"/>
      <c r="C42" s="96"/>
      <c r="D42" s="97"/>
      <c r="E42" s="95"/>
      <c r="F42" s="96"/>
      <c r="G42" s="13"/>
      <c r="H42" s="83"/>
      <c r="I42" s="72"/>
    </row>
    <row r="43" spans="1:33" x14ac:dyDescent="0.2">
      <c r="A43" s="85"/>
      <c r="B43" s="86"/>
      <c r="C43" s="82"/>
      <c r="D43" s="87"/>
      <c r="E43" s="86"/>
      <c r="F43" s="82"/>
      <c r="G43" s="13"/>
      <c r="H43" s="83">
        <v>1000</v>
      </c>
      <c r="I43" s="72"/>
    </row>
    <row r="44" spans="1:33" x14ac:dyDescent="0.2">
      <c r="A44" s="85" t="s">
        <v>51</v>
      </c>
      <c r="B44" s="86"/>
      <c r="C44" s="86"/>
      <c r="D44" s="86"/>
      <c r="E44" s="86"/>
      <c r="F44" s="88"/>
      <c r="G44" s="13"/>
      <c r="H44" s="84"/>
      <c r="I44" s="72"/>
    </row>
    <row r="45" spans="1:33" s="7" customFormat="1" x14ac:dyDescent="0.2">
      <c r="A45" s="75" t="s">
        <v>53</v>
      </c>
      <c r="B45" s="127">
        <f t="shared" ref="B45:F45" si="2">SUM(B33:B41)</f>
        <v>0</v>
      </c>
      <c r="C45" s="127">
        <f t="shared" si="2"/>
        <v>0</v>
      </c>
      <c r="D45" s="127">
        <f t="shared" si="2"/>
        <v>0</v>
      </c>
      <c r="E45" s="127">
        <f t="shared" si="2"/>
        <v>0</v>
      </c>
      <c r="F45" s="127">
        <f t="shared" si="2"/>
        <v>0</v>
      </c>
      <c r="G45" s="11"/>
      <c r="H45" s="11"/>
      <c r="I45" s="44"/>
      <c r="J45" s="1"/>
      <c r="K45" s="4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s="1" customFormat="1" x14ac:dyDescent="0.2">
      <c r="A46" s="74"/>
      <c r="B46" s="11"/>
      <c r="C46" s="11"/>
      <c r="D46" s="11"/>
      <c r="E46" s="11"/>
      <c r="F46" s="11"/>
      <c r="G46" s="11"/>
      <c r="H46" s="11"/>
      <c r="I46" s="44"/>
    </row>
    <row r="47" spans="1:33" s="6" customFormat="1" x14ac:dyDescent="0.2">
      <c r="A47" s="89" t="s">
        <v>52</v>
      </c>
      <c r="B47" s="89">
        <f>(SUMPRODUCT(B18:B29,$H18:$H29)*(1+$H47))+(SUMPRODUCT(B6:B14,$H6:$H14)*(1+$H47))+(SUMPRODUCT(B33:B44,$H33:$H44)*(1+$H47))</f>
        <v>0</v>
      </c>
      <c r="C47" s="89">
        <f t="shared" ref="C47:F47" si="3">(SUMPRODUCT(C18:C29,$H18:$H29)*(1+$H47))+(SUMPRODUCT(C6:C14,$H6:$H14)*(1+$H47))+(SUMPRODUCT(C33:C44,$H33:$H44)*(1+$H47))</f>
        <v>0</v>
      </c>
      <c r="D47" s="89">
        <f t="shared" si="3"/>
        <v>0</v>
      </c>
      <c r="E47" s="89">
        <f t="shared" si="3"/>
        <v>0</v>
      </c>
      <c r="F47" s="89">
        <f t="shared" si="3"/>
        <v>0</v>
      </c>
      <c r="G47" s="12"/>
      <c r="H47" s="91">
        <v>0.02</v>
      </c>
      <c r="I47" s="76"/>
      <c r="J47" s="142" t="s">
        <v>68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x14ac:dyDescent="0.2">
      <c r="A48" s="74"/>
      <c r="B48" s="51"/>
      <c r="C48" s="51"/>
      <c r="D48" s="51"/>
      <c r="E48" s="51"/>
      <c r="F48" s="51"/>
      <c r="G48" s="11"/>
      <c r="H48" s="11" t="s">
        <v>56</v>
      </c>
      <c r="I48" s="44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2">
      <c r="A49" s="74"/>
      <c r="B49" s="11"/>
      <c r="C49" s="11"/>
      <c r="D49" s="11"/>
      <c r="E49" s="11"/>
      <c r="F49" s="11"/>
      <c r="G49" s="11"/>
      <c r="H49" s="11"/>
      <c r="I49" s="44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2">
      <c r="A50" s="73" t="s">
        <v>45</v>
      </c>
      <c r="B50" s="108">
        <f>B15-B14</f>
        <v>0</v>
      </c>
      <c r="C50" s="108">
        <f>C15-C14</f>
        <v>0</v>
      </c>
      <c r="D50" s="108">
        <f>D15-D14</f>
        <v>0</v>
      </c>
      <c r="E50" s="108">
        <f>E15-E14</f>
        <v>0</v>
      </c>
      <c r="F50" s="108">
        <f>F15-F14</f>
        <v>0</v>
      </c>
      <c r="G50" s="11"/>
      <c r="H50" s="11"/>
      <c r="I50" s="44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2">
      <c r="A51" s="205" t="s">
        <v>200</v>
      </c>
      <c r="B51" s="206">
        <f>B30</f>
        <v>0</v>
      </c>
      <c r="C51" s="206">
        <f t="shared" ref="C51:F51" si="4">C30</f>
        <v>0</v>
      </c>
      <c r="D51" s="206">
        <f t="shared" si="4"/>
        <v>0</v>
      </c>
      <c r="E51" s="206">
        <f t="shared" si="4"/>
        <v>0</v>
      </c>
      <c r="F51" s="206">
        <f t="shared" si="4"/>
        <v>0</v>
      </c>
      <c r="G51" s="11"/>
      <c r="H51" s="11"/>
      <c r="I51" s="44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3.5" thickBot="1" x14ac:dyDescent="0.25">
      <c r="A52" s="77" t="s">
        <v>46</v>
      </c>
      <c r="B52" s="52">
        <f t="shared" ref="B52:F52" si="5">B45</f>
        <v>0</v>
      </c>
      <c r="C52" s="52">
        <f t="shared" si="5"/>
        <v>0</v>
      </c>
      <c r="D52" s="52">
        <f t="shared" si="5"/>
        <v>0</v>
      </c>
      <c r="E52" s="52">
        <f t="shared" si="5"/>
        <v>0</v>
      </c>
      <c r="F52" s="52">
        <f t="shared" si="5"/>
        <v>0</v>
      </c>
      <c r="G52" s="11"/>
      <c r="H52" s="11"/>
      <c r="I52" s="4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2">
      <c r="A53" s="78" t="s">
        <v>47</v>
      </c>
      <c r="B53" s="53">
        <f>SUM(B50:B52)</f>
        <v>0</v>
      </c>
      <c r="C53" s="53">
        <f t="shared" ref="C53:F53" si="6">SUM(C50:C52)</f>
        <v>0</v>
      </c>
      <c r="D53" s="53">
        <f t="shared" si="6"/>
        <v>0</v>
      </c>
      <c r="E53" s="53">
        <f t="shared" si="6"/>
        <v>0</v>
      </c>
      <c r="F53" s="53">
        <f t="shared" si="6"/>
        <v>0</v>
      </c>
      <c r="G53" s="11"/>
      <c r="H53" s="11"/>
      <c r="I53" s="44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3.5" customHeight="1" x14ac:dyDescent="0.2">
      <c r="A54" s="70"/>
      <c r="B54" s="11"/>
      <c r="C54" s="11"/>
      <c r="D54" s="11"/>
      <c r="E54" s="11"/>
      <c r="F54" s="11"/>
      <c r="G54" s="11"/>
      <c r="H54" s="11"/>
      <c r="I54" s="44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2">
      <c r="A55" s="74" t="s">
        <v>48</v>
      </c>
      <c r="B55" s="16" t="e">
        <f>(ROUND(B5/(B50),0)&amp;":1")</f>
        <v>#DIV/0!</v>
      </c>
      <c r="C55" s="16" t="e">
        <f>(ROUND(C5/(C50),0)&amp;":1")</f>
        <v>#DIV/0!</v>
      </c>
      <c r="D55" s="16" t="e">
        <f>(ROUND(D5/(D50),0)&amp;":1")</f>
        <v>#DIV/0!</v>
      </c>
      <c r="E55" s="16" t="e">
        <f>(ROUND(E5/(E50),0)&amp;":1")</f>
        <v>#DIV/0!</v>
      </c>
      <c r="F55" s="16" t="e">
        <f>(ROUND(F5/(F50),0)&amp;":1")</f>
        <v>#DIV/0!</v>
      </c>
      <c r="G55" s="11"/>
      <c r="H55" s="11"/>
      <c r="I55" s="4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2">
      <c r="A56" s="74" t="s">
        <v>49</v>
      </c>
      <c r="B56" s="16" t="e">
        <f>(ROUND(B5/(B53),0)&amp;":1")</f>
        <v>#DIV/0!</v>
      </c>
      <c r="C56" s="16" t="e">
        <f>(ROUND(C5/(C53),0)&amp;":1")</f>
        <v>#DIV/0!</v>
      </c>
      <c r="D56" s="16" t="e">
        <f>(ROUND(D5/(D53),0)&amp;":1")</f>
        <v>#DIV/0!</v>
      </c>
      <c r="E56" s="16" t="e">
        <f>(ROUND(E5/(E53),0)&amp;":1")</f>
        <v>#DIV/0!</v>
      </c>
      <c r="F56" s="16" t="e">
        <f>(ROUND(F5/(F53),0)&amp;":1")</f>
        <v>#DIV/0!</v>
      </c>
      <c r="G56" s="11"/>
      <c r="H56" s="11"/>
      <c r="I56" s="44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8.25" customHeight="1" x14ac:dyDescent="0.2">
      <c r="A57" s="79"/>
      <c r="B57" s="46"/>
      <c r="C57" s="46"/>
      <c r="D57" s="46"/>
      <c r="E57" s="46"/>
      <c r="F57" s="46"/>
      <c r="G57" s="46"/>
      <c r="H57" s="46"/>
      <c r="I57" s="4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2">
      <c r="E58" s="1"/>
      <c r="F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2">
      <c r="E59" s="1"/>
      <c r="F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idden="1" x14ac:dyDescent="0.2">
      <c r="A60" s="2" t="s">
        <v>73</v>
      </c>
      <c r="B60" s="104">
        <f>((B6*$H$6)+(B7*$H$7)+(B8*$H$8)+(B9*$H$9)+(B10*$H$10)+(B11*$H$11)+(B12*$H$12))*(1+$H$47)</f>
        <v>0</v>
      </c>
      <c r="C60" s="104">
        <f>((C6*$H$6)+(C7*$H$7)+(C8*$H$8)+(C9*$H$9)+(C10*$H$10)+(C11*$H$11)+(C12*$H$12))*(1+($H47*2))</f>
        <v>0</v>
      </c>
      <c r="D60" s="104">
        <f>((D6*$H$6)+(D7*$H$7)+(D8*$H$8)+(D9*$H$9)+(D10*$H$10)+(D11*$H$11)+(D12*$H$12))*(1+($H47*3))</f>
        <v>0</v>
      </c>
      <c r="E60" s="104">
        <f>((E6*$H$6)+(E7*$H$7)+(E8*$H$8)+(E9*$H$9)+(E10*$H$10)+(E11*$H$11)+(E12*$H$12))*(1+($H47*4))</f>
        <v>0</v>
      </c>
      <c r="F60" s="104">
        <f>((F6*$H$6)+(F7*$H$7)+(F8*$H$8)+(F9*$H$9)+(F10*$H$10)+(F11*$H$11)+(F12*$H$12))*(1+($H47*5))</f>
        <v>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idden="1" x14ac:dyDescent="0.2">
      <c r="A61" s="2" t="s">
        <v>74</v>
      </c>
      <c r="B61" s="104">
        <f>((B33*$H$33)+(B34*$H$34)+(B35*$H$35)+(B36*$H$36)+(B37*$H$37)+(B38*$H$38)+(B39*$H$39))*(1+$H$47)</f>
        <v>0</v>
      </c>
      <c r="C61" s="104">
        <f>((C33*$H$33)+(C34*$H$34)+(C35*$H$35)+(C36*$H$36)+(C37*$H$37)+(C38*$H$38)+(C39*$H$39))*(1+($H47*2))</f>
        <v>0</v>
      </c>
      <c r="D61" s="104">
        <f>((D33*$H$33)+(D34*$H$34)+(D35*$H$35)+(D36*$H$36)+(D37*$H$37)+(D38*$H$38)+(D39*$H$39))*(1+($H47*3))</f>
        <v>0</v>
      </c>
      <c r="E61" s="104">
        <f>((E33*$H$33)+(E34*$H$34)+(E35*$H$35)+(E36*$H$36)+(E37*$H$37)+(E38*$H$38)+(E39*$H$39))*(1+($H47*4))</f>
        <v>0</v>
      </c>
      <c r="F61" s="104">
        <f>((F33*$H$33)+(F34*$H$34)+(F35*$H$35)+(F36*$H$36)+(F37*$H$37)+(F38*$H$38)+(F39*$H$39))*(1+($H47*5))</f>
        <v>0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idden="1" x14ac:dyDescent="0.2">
      <c r="E62" s="1"/>
      <c r="F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idden="1" x14ac:dyDescent="0.2">
      <c r="A63" s="2" t="s">
        <v>98</v>
      </c>
      <c r="B63" s="104">
        <f t="shared" ref="B63:F63" si="7">B47-SUM(B60:B61)</f>
        <v>0</v>
      </c>
      <c r="C63" s="104">
        <f t="shared" si="7"/>
        <v>0</v>
      </c>
      <c r="D63" s="104">
        <f t="shared" si="7"/>
        <v>0</v>
      </c>
      <c r="E63" s="104">
        <f t="shared" si="7"/>
        <v>0</v>
      </c>
      <c r="F63" s="104">
        <f t="shared" si="7"/>
        <v>0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2">
      <c r="E64" s="1"/>
      <c r="F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4:33" x14ac:dyDescent="0.2">
      <c r="D65" s="2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4:33" x14ac:dyDescent="0.2">
      <c r="D66" s="2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4:33" x14ac:dyDescent="0.2">
      <c r="D67" s="2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4:33" x14ac:dyDescent="0.2">
      <c r="D68" s="2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4:33" x14ac:dyDescent="0.2">
      <c r="D69" s="2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4:33" x14ac:dyDescent="0.2">
      <c r="D70" s="2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4:33" x14ac:dyDescent="0.2">
      <c r="D71" s="2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4:33" x14ac:dyDescent="0.2">
      <c r="D72" s="2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4:33" x14ac:dyDescent="0.2">
      <c r="D73" s="2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4:33" x14ac:dyDescent="0.2">
      <c r="D74" s="2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4:33" x14ac:dyDescent="0.2">
      <c r="D75" s="2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4:33" x14ac:dyDescent="0.2">
      <c r="D76" s="2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4:33" x14ac:dyDescent="0.2">
      <c r="D77" s="2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4:33" x14ac:dyDescent="0.2">
      <c r="D78" s="2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4:33" x14ac:dyDescent="0.2">
      <c r="D79" s="2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4:33" x14ac:dyDescent="0.2">
      <c r="D80" s="2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4:33" x14ac:dyDescent="0.2">
      <c r="D81" s="2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4:33" x14ac:dyDescent="0.2">
      <c r="D82" s="2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4:33" x14ac:dyDescent="0.2">
      <c r="D83" s="2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4:33" x14ac:dyDescent="0.2">
      <c r="D84" s="2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4:33" x14ac:dyDescent="0.2">
      <c r="D85" s="2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4:33" x14ac:dyDescent="0.2">
      <c r="D86" s="2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4:33" x14ac:dyDescent="0.2">
      <c r="D87" s="2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4:33" x14ac:dyDescent="0.2">
      <c r="D88" s="2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4:33" x14ac:dyDescent="0.2">
      <c r="D89" s="2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4:33" x14ac:dyDescent="0.2">
      <c r="D90" s="2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4:33" x14ac:dyDescent="0.2">
      <c r="D91" s="2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4:33" x14ac:dyDescent="0.2">
      <c r="D92" s="2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4:33" x14ac:dyDescent="0.2">
      <c r="D93" s="2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4:33" x14ac:dyDescent="0.2">
      <c r="D94" s="2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4:33" x14ac:dyDescent="0.2">
      <c r="D95" s="2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4:33" x14ac:dyDescent="0.2">
      <c r="D96" s="2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4:33" x14ac:dyDescent="0.2">
      <c r="D97" s="2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4:33" x14ac:dyDescent="0.2">
      <c r="D98" s="2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4:33" x14ac:dyDescent="0.2">
      <c r="D99" s="2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4:33" x14ac:dyDescent="0.2">
      <c r="D100" s="2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4:33" x14ac:dyDescent="0.2">
      <c r="D101" s="2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4:33" x14ac:dyDescent="0.2">
      <c r="D102" s="2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4:33" x14ac:dyDescent="0.2">
      <c r="D103" s="2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4:33" x14ac:dyDescent="0.2">
      <c r="D104" s="2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4:33" x14ac:dyDescent="0.2">
      <c r="D105" s="2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4:33" x14ac:dyDescent="0.2">
      <c r="D106" s="2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4:33" x14ac:dyDescent="0.2">
      <c r="D107" s="2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4:33" x14ac:dyDescent="0.2">
      <c r="D108" s="2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4:33" x14ac:dyDescent="0.2">
      <c r="D109" s="2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4:33" x14ac:dyDescent="0.2">
      <c r="D110" s="2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4:33" x14ac:dyDescent="0.2">
      <c r="D111" s="2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4:33" x14ac:dyDescent="0.2">
      <c r="D112" s="2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4:33" x14ac:dyDescent="0.2">
      <c r="D113" s="2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4:33" x14ac:dyDescent="0.2">
      <c r="D114" s="2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4:33" x14ac:dyDescent="0.2">
      <c r="D115" s="2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4:33" x14ac:dyDescent="0.2">
      <c r="D116" s="2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4:33" x14ac:dyDescent="0.2">
      <c r="D117" s="2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4:33" x14ac:dyDescent="0.2">
      <c r="D118" s="2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4:33" x14ac:dyDescent="0.2">
      <c r="D119" s="2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</sheetData>
  <mergeCells count="1">
    <mergeCell ref="H4:H5"/>
  </mergeCells>
  <phoneticPr fontId="3" type="noConversion"/>
  <printOptions horizontalCentered="1"/>
  <pageMargins left="0.41" right="0.23" top="0.38" bottom="0.41" header="0.28000000000000003" footer="0.3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32"/>
  <sheetViews>
    <sheetView zoomScale="80" zoomScaleNormal="80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A22" sqref="A22"/>
    </sheetView>
  </sheetViews>
  <sheetFormatPr defaultColWidth="11.42578125" defaultRowHeight="12.75" outlineLevelCol="1" x14ac:dyDescent="0.2"/>
  <cols>
    <col min="1" max="1" width="40.140625" style="49" customWidth="1"/>
    <col min="2" max="6" width="14.140625" style="49" customWidth="1" outlineLevel="1"/>
    <col min="7" max="7" width="5.140625" customWidth="1" outlineLevel="1"/>
    <col min="8" max="8" width="17.42578125" style="49" customWidth="1" outlineLevel="1"/>
    <col min="9" max="9" width="23.7109375" style="49" customWidth="1" outlineLevel="1"/>
    <col min="10" max="10" width="35.28515625" style="49" customWidth="1" outlineLevel="1"/>
    <col min="11" max="11" width="64.28515625" style="149" bestFit="1" customWidth="1"/>
    <col min="12" max="16" width="11.42578125" style="150"/>
    <col min="17" max="16384" width="11.42578125" style="49"/>
  </cols>
  <sheetData>
    <row r="1" spans="1:16" ht="18.75" x14ac:dyDescent="0.3">
      <c r="A1" s="54" t="s">
        <v>42</v>
      </c>
      <c r="B1" s="109" t="s">
        <v>51</v>
      </c>
    </row>
    <row r="2" spans="1:16" x14ac:dyDescent="0.2">
      <c r="B2" s="109"/>
    </row>
    <row r="3" spans="1:16" x14ac:dyDescent="0.2">
      <c r="A3" s="55" t="s">
        <v>34</v>
      </c>
      <c r="B3" s="155" t="str">
        <f>'Enrollment Forecast'!B4</f>
        <v>FY 2018-19</v>
      </c>
      <c r="C3" s="155" t="str">
        <f>'Enrollment Forecast'!C4</f>
        <v>FY 2019-20</v>
      </c>
      <c r="D3" s="155" t="str">
        <f>'Enrollment Forecast'!D4</f>
        <v>FY 2020-21</v>
      </c>
      <c r="E3" s="155" t="str">
        <f>'Enrollment Forecast'!E4</f>
        <v>FY 2021-22</v>
      </c>
      <c r="F3" s="155" t="str">
        <f>'Enrollment Forecast'!F4</f>
        <v>FY 2022-23</v>
      </c>
      <c r="H3" s="212" t="s">
        <v>108</v>
      </c>
      <c r="I3" s="213"/>
      <c r="J3" s="184" t="s">
        <v>110</v>
      </c>
      <c r="K3" s="185" t="s">
        <v>107</v>
      </c>
    </row>
    <row r="4" spans="1:16" ht="38.25" x14ac:dyDescent="0.2">
      <c r="A4" s="156" t="s">
        <v>66</v>
      </c>
      <c r="B4" s="158"/>
      <c r="C4" s="159">
        <f t="shared" ref="C4:E4" si="0">B4*1</f>
        <v>0</v>
      </c>
      <c r="D4" s="159">
        <f t="shared" si="0"/>
        <v>0</v>
      </c>
      <c r="E4" s="159">
        <f t="shared" si="0"/>
        <v>0</v>
      </c>
      <c r="F4" s="159">
        <f>E4*1</f>
        <v>0</v>
      </c>
      <c r="H4" s="174" t="s">
        <v>117</v>
      </c>
      <c r="I4" s="175"/>
      <c r="J4" s="148" t="s">
        <v>120</v>
      </c>
      <c r="K4" s="186" t="s">
        <v>112</v>
      </c>
    </row>
    <row r="5" spans="1:16" ht="33" customHeight="1" x14ac:dyDescent="0.2">
      <c r="A5" s="160" t="s">
        <v>114</v>
      </c>
      <c r="B5" s="157">
        <f>B4*B6*0.5</f>
        <v>0</v>
      </c>
      <c r="C5" s="157">
        <f t="shared" ref="C5:F5" si="1">C4*C6*0.5</f>
        <v>0</v>
      </c>
      <c r="D5" s="157">
        <f t="shared" si="1"/>
        <v>0</v>
      </c>
      <c r="E5" s="157">
        <f t="shared" si="1"/>
        <v>0</v>
      </c>
      <c r="F5" s="157">
        <f t="shared" si="1"/>
        <v>0</v>
      </c>
      <c r="H5" s="183" t="s">
        <v>122</v>
      </c>
      <c r="I5" s="175" t="s">
        <v>118</v>
      </c>
      <c r="J5" s="148" t="s">
        <v>128</v>
      </c>
      <c r="K5" s="186" t="s">
        <v>119</v>
      </c>
    </row>
    <row r="6" spans="1:16" s="106" customFormat="1" ht="25.5" customHeight="1" x14ac:dyDescent="0.2">
      <c r="A6" s="171" t="s">
        <v>115</v>
      </c>
      <c r="B6" s="161">
        <f>'Enrollment Forecast'!B21</f>
        <v>0</v>
      </c>
      <c r="C6" s="162">
        <f>'Enrollment Forecast'!C21</f>
        <v>0</v>
      </c>
      <c r="D6" s="162">
        <f>'Enrollment Forecast'!D21</f>
        <v>0</v>
      </c>
      <c r="E6" s="162">
        <f>'Enrollment Forecast'!E21</f>
        <v>0</v>
      </c>
      <c r="F6" s="162">
        <f>'Enrollment Forecast'!F21</f>
        <v>0</v>
      </c>
      <c r="G6"/>
      <c r="H6" s="176"/>
      <c r="I6" s="177"/>
      <c r="J6" s="148" t="s">
        <v>128</v>
      </c>
      <c r="K6" s="186" t="s">
        <v>182</v>
      </c>
      <c r="L6" s="151"/>
      <c r="M6" s="151"/>
      <c r="N6" s="151"/>
      <c r="O6" s="151"/>
      <c r="P6" s="151"/>
    </row>
    <row r="7" spans="1:16" ht="38.25" x14ac:dyDescent="0.2">
      <c r="A7" s="156" t="s">
        <v>138</v>
      </c>
      <c r="B7" s="163">
        <f>$H$7</f>
        <v>299.87</v>
      </c>
      <c r="C7" s="163">
        <f>B7*0.99</f>
        <v>296.87130000000002</v>
      </c>
      <c r="D7" s="163">
        <f t="shared" ref="D7:F7" si="2">C7*0.99</f>
        <v>293.90258700000004</v>
      </c>
      <c r="E7" s="163">
        <f t="shared" si="2"/>
        <v>290.96356113000002</v>
      </c>
      <c r="F7" s="163">
        <f t="shared" si="2"/>
        <v>288.0539255187</v>
      </c>
      <c r="H7" s="178">
        <v>299.87</v>
      </c>
      <c r="I7" s="175" t="s">
        <v>120</v>
      </c>
      <c r="J7" s="148" t="s">
        <v>128</v>
      </c>
      <c r="K7" s="186" t="s">
        <v>116</v>
      </c>
    </row>
    <row r="8" spans="1:16" ht="33" customHeight="1" x14ac:dyDescent="0.2">
      <c r="A8" s="156" t="s">
        <v>101</v>
      </c>
      <c r="B8" s="157">
        <f>B9*$H$8</f>
        <v>0</v>
      </c>
      <c r="C8" s="157">
        <f>B9*0.98*$H$8</f>
        <v>0</v>
      </c>
      <c r="D8" s="157">
        <f>C9*0.96*$H$8</f>
        <v>0</v>
      </c>
      <c r="E8" s="157">
        <f>D9*0.94*$H$8</f>
        <v>0</v>
      </c>
      <c r="F8" s="157">
        <f>E9*0.92*$H$8</f>
        <v>0</v>
      </c>
      <c r="H8" s="179">
        <v>1255</v>
      </c>
      <c r="I8" s="175" t="s">
        <v>113</v>
      </c>
      <c r="J8" s="148" t="s">
        <v>128</v>
      </c>
      <c r="K8" s="186" t="s">
        <v>125</v>
      </c>
    </row>
    <row r="9" spans="1:16" ht="33" customHeight="1" x14ac:dyDescent="0.2">
      <c r="A9" s="172" t="s">
        <v>139</v>
      </c>
      <c r="B9" s="164">
        <v>0</v>
      </c>
      <c r="C9" s="162">
        <v>0</v>
      </c>
      <c r="D9" s="162">
        <v>0</v>
      </c>
      <c r="E9" s="162">
        <v>0</v>
      </c>
      <c r="F9" s="162">
        <v>0</v>
      </c>
      <c r="H9" s="179"/>
      <c r="I9" s="175"/>
      <c r="J9" s="148" t="s">
        <v>126</v>
      </c>
      <c r="K9" s="187"/>
    </row>
    <row r="10" spans="1:16" ht="38.25" x14ac:dyDescent="0.2">
      <c r="A10" s="156" t="s">
        <v>106</v>
      </c>
      <c r="B10" s="163">
        <f>B12*$H$10*0.98</f>
        <v>0</v>
      </c>
      <c r="C10" s="157">
        <f>B12*$H$10</f>
        <v>0</v>
      </c>
      <c r="D10" s="157">
        <f>C12*$H$10*0.96</f>
        <v>0</v>
      </c>
      <c r="E10" s="157">
        <f>D12*$H$10*0.94</f>
        <v>0</v>
      </c>
      <c r="F10" s="157">
        <f>E12*$H$10*0.92</f>
        <v>0</v>
      </c>
      <c r="H10" s="180">
        <v>125</v>
      </c>
      <c r="I10" s="175" t="s">
        <v>136</v>
      </c>
      <c r="J10" s="148" t="s">
        <v>128</v>
      </c>
      <c r="K10" s="186" t="s">
        <v>167</v>
      </c>
    </row>
    <row r="11" spans="1:16" ht="33" customHeight="1" x14ac:dyDescent="0.2">
      <c r="A11" s="171" t="s">
        <v>70</v>
      </c>
      <c r="B11" s="164">
        <v>0</v>
      </c>
      <c r="C11" s="162">
        <v>0</v>
      </c>
      <c r="D11" s="162">
        <v>0</v>
      </c>
      <c r="E11" s="162">
        <v>0</v>
      </c>
      <c r="F11" s="162">
        <v>0</v>
      </c>
      <c r="H11" s="178"/>
      <c r="I11" s="175"/>
      <c r="J11" s="148" t="s">
        <v>129</v>
      </c>
      <c r="K11" s="188"/>
      <c r="L11" s="152"/>
    </row>
    <row r="12" spans="1:16" ht="33" customHeight="1" x14ac:dyDescent="0.2">
      <c r="A12" s="171" t="s">
        <v>127</v>
      </c>
      <c r="B12" s="165">
        <f>SUM('Enrollment Forecast'!B6:B18)*'Forecast Assumptions'!B11</f>
        <v>0</v>
      </c>
      <c r="C12" s="165">
        <f>SUM('Enrollment Forecast'!C6:C18)*'Forecast Assumptions'!C11</f>
        <v>0</v>
      </c>
      <c r="D12" s="165">
        <f>SUM('Enrollment Forecast'!D6:D18)*'Forecast Assumptions'!D11</f>
        <v>0</v>
      </c>
      <c r="E12" s="165">
        <f>SUM('Enrollment Forecast'!E6:E18)*'Forecast Assumptions'!E11</f>
        <v>0</v>
      </c>
      <c r="F12" s="165">
        <f>SUM('Enrollment Forecast'!F6:F18)*'Forecast Assumptions'!F11</f>
        <v>0</v>
      </c>
      <c r="H12" s="178"/>
      <c r="I12" s="175"/>
      <c r="J12" s="148" t="s">
        <v>128</v>
      </c>
      <c r="K12" s="188"/>
      <c r="L12" s="152"/>
    </row>
    <row r="13" spans="1:16" ht="42" customHeight="1" x14ac:dyDescent="0.2">
      <c r="A13" s="156" t="s">
        <v>83</v>
      </c>
      <c r="B13" s="157">
        <f>500</f>
        <v>500</v>
      </c>
      <c r="C13" s="157">
        <f>500+$H$13*C14*0.98</f>
        <v>500</v>
      </c>
      <c r="D13" s="157">
        <f>500+$H$13*D14*0.96</f>
        <v>500</v>
      </c>
      <c r="E13" s="157">
        <f>500+$H$13*E14*0.94</f>
        <v>500</v>
      </c>
      <c r="F13" s="157">
        <f>500+$H$13*F14*0.92</f>
        <v>500</v>
      </c>
      <c r="H13" s="180">
        <v>196</v>
      </c>
      <c r="I13" s="175" t="s">
        <v>130</v>
      </c>
      <c r="J13" s="148" t="s">
        <v>128</v>
      </c>
      <c r="K13" s="186" t="s">
        <v>207</v>
      </c>
    </row>
    <row r="14" spans="1:16" ht="33" customHeight="1" x14ac:dyDescent="0.2">
      <c r="A14" s="171" t="s">
        <v>131</v>
      </c>
      <c r="B14" s="164">
        <v>0</v>
      </c>
      <c r="C14" s="162">
        <v>0</v>
      </c>
      <c r="D14" s="162">
        <v>0</v>
      </c>
      <c r="E14" s="162">
        <v>0</v>
      </c>
      <c r="F14" s="162">
        <v>0</v>
      </c>
      <c r="H14" s="180"/>
      <c r="I14" s="175"/>
      <c r="J14" s="148" t="s">
        <v>131</v>
      </c>
      <c r="K14" s="186"/>
    </row>
    <row r="15" spans="1:16" ht="33" customHeight="1" x14ac:dyDescent="0.2">
      <c r="A15" s="156" t="s">
        <v>121</v>
      </c>
      <c r="B15" s="166">
        <f>B16*$H$15</f>
        <v>0</v>
      </c>
      <c r="C15" s="166">
        <f>B16*$H$15</f>
        <v>0</v>
      </c>
      <c r="D15" s="166">
        <f t="shared" ref="D15:F15" si="3">C16*$H$15</f>
        <v>0</v>
      </c>
      <c r="E15" s="166">
        <f t="shared" si="3"/>
        <v>0</v>
      </c>
      <c r="F15" s="166">
        <f t="shared" si="3"/>
        <v>0</v>
      </c>
      <c r="H15" s="180">
        <v>893</v>
      </c>
      <c r="I15" s="175" t="s">
        <v>123</v>
      </c>
      <c r="J15" s="148" t="s">
        <v>128</v>
      </c>
      <c r="K15" s="186" t="s">
        <v>168</v>
      </c>
    </row>
    <row r="16" spans="1:16" ht="33" customHeight="1" x14ac:dyDescent="0.2">
      <c r="A16" s="171" t="s">
        <v>132</v>
      </c>
      <c r="B16" s="164">
        <v>0</v>
      </c>
      <c r="C16" s="162">
        <v>0</v>
      </c>
      <c r="D16" s="162">
        <v>0</v>
      </c>
      <c r="E16" s="162">
        <v>0</v>
      </c>
      <c r="F16" s="162">
        <v>0</v>
      </c>
      <c r="H16" s="180"/>
      <c r="I16" s="175"/>
      <c r="J16" s="148" t="s">
        <v>124</v>
      </c>
      <c r="K16" s="186"/>
    </row>
    <row r="17" spans="1:12" ht="33" customHeight="1" x14ac:dyDescent="0.2">
      <c r="A17" s="156" t="s">
        <v>190</v>
      </c>
      <c r="B17" s="157">
        <f>$H$17</f>
        <v>300</v>
      </c>
      <c r="C17" s="157">
        <f>$H$17</f>
        <v>300</v>
      </c>
      <c r="D17" s="157">
        <f>$H$17</f>
        <v>300</v>
      </c>
      <c r="E17" s="157">
        <f>$H$17</f>
        <v>300</v>
      </c>
      <c r="F17" s="157">
        <f>$H$17</f>
        <v>300</v>
      </c>
      <c r="H17" s="180">
        <v>300</v>
      </c>
      <c r="I17" s="175" t="s">
        <v>192</v>
      </c>
      <c r="J17" s="148" t="s">
        <v>128</v>
      </c>
      <c r="K17" s="186" t="s">
        <v>191</v>
      </c>
    </row>
    <row r="18" spans="1:12" ht="33" customHeight="1" x14ac:dyDescent="0.2">
      <c r="A18" s="156" t="s">
        <v>80</v>
      </c>
      <c r="B18" s="157">
        <f>B23*$H$18</f>
        <v>0</v>
      </c>
      <c r="C18" s="157">
        <f>C23*$H$18*0.98</f>
        <v>0</v>
      </c>
      <c r="D18" s="157">
        <f>D23*$H$18*0.96</f>
        <v>0</v>
      </c>
      <c r="E18" s="157">
        <f>E23*$H$18*0.94</f>
        <v>0</v>
      </c>
      <c r="F18" s="157">
        <f>F23*$H$18*0.92</f>
        <v>0</v>
      </c>
      <c r="H18" s="181">
        <v>359.72</v>
      </c>
      <c r="I18" s="175" t="s">
        <v>133</v>
      </c>
      <c r="J18" s="148" t="s">
        <v>128</v>
      </c>
      <c r="K18" s="187"/>
    </row>
    <row r="19" spans="1:12" ht="33" customHeight="1" x14ac:dyDescent="0.2">
      <c r="A19" s="156" t="s">
        <v>102</v>
      </c>
      <c r="B19" s="157">
        <f>B9*$H$19</f>
        <v>0</v>
      </c>
      <c r="C19" s="157">
        <f>B9*$H$19</f>
        <v>0</v>
      </c>
      <c r="D19" s="157">
        <f t="shared" ref="D19:F19" si="4">C9*$H$19</f>
        <v>0</v>
      </c>
      <c r="E19" s="157">
        <f t="shared" si="4"/>
        <v>0</v>
      </c>
      <c r="F19" s="157">
        <f t="shared" si="4"/>
        <v>0</v>
      </c>
      <c r="H19" s="182">
        <v>1500</v>
      </c>
      <c r="I19" s="175" t="s">
        <v>135</v>
      </c>
      <c r="J19" s="148" t="s">
        <v>128</v>
      </c>
      <c r="K19" s="187"/>
    </row>
    <row r="20" spans="1:12" ht="38.25" x14ac:dyDescent="0.2">
      <c r="A20" s="156" t="s">
        <v>81</v>
      </c>
      <c r="B20" s="163">
        <f>B12*$H$20</f>
        <v>0</v>
      </c>
      <c r="C20" s="157">
        <f>B12*$H$20*0.98</f>
        <v>0</v>
      </c>
      <c r="D20" s="157">
        <f>C12*$H$20*0.96</f>
        <v>0</v>
      </c>
      <c r="E20" s="157">
        <f>D12*$H$20*0.94</f>
        <v>0</v>
      </c>
      <c r="F20" s="157">
        <f>E12*$H$20*0.92</f>
        <v>0</v>
      </c>
      <c r="H20" s="180">
        <v>50</v>
      </c>
      <c r="I20" s="175" t="s">
        <v>136</v>
      </c>
      <c r="J20" s="148" t="s">
        <v>128</v>
      </c>
      <c r="K20" s="186" t="s">
        <v>208</v>
      </c>
      <c r="L20" s="153"/>
    </row>
    <row r="21" spans="1:12" ht="28.9" customHeight="1" x14ac:dyDescent="0.2">
      <c r="A21" s="156" t="s">
        <v>210</v>
      </c>
      <c r="B21" s="157">
        <f>B23*$H$21</f>
        <v>0</v>
      </c>
      <c r="C21" s="157">
        <f>C23*$H$21</f>
        <v>0</v>
      </c>
      <c r="D21" s="157">
        <f>D23*$H$21</f>
        <v>0</v>
      </c>
      <c r="E21" s="157">
        <f>E23*$H$21</f>
        <v>0</v>
      </c>
      <c r="F21" s="157">
        <f>F23*$H$21</f>
        <v>0</v>
      </c>
      <c r="H21" s="181">
        <v>62.11</v>
      </c>
      <c r="I21" s="175" t="s">
        <v>133</v>
      </c>
      <c r="J21" s="148"/>
      <c r="K21" s="187" t="s">
        <v>209</v>
      </c>
      <c r="L21" s="153"/>
    </row>
    <row r="22" spans="1:12" ht="33" customHeight="1" x14ac:dyDescent="0.2">
      <c r="A22" s="156" t="s">
        <v>61</v>
      </c>
      <c r="B22" s="167">
        <v>0</v>
      </c>
      <c r="C22" s="168">
        <v>0</v>
      </c>
      <c r="D22" s="168">
        <v>0</v>
      </c>
      <c r="E22" s="168">
        <v>0</v>
      </c>
      <c r="F22" s="168">
        <v>0</v>
      </c>
      <c r="H22" s="180"/>
      <c r="I22" s="175"/>
      <c r="J22" s="148" t="s">
        <v>137</v>
      </c>
      <c r="K22" s="188"/>
      <c r="L22" s="152"/>
    </row>
    <row r="23" spans="1:12" ht="33" customHeight="1" x14ac:dyDescent="0.2">
      <c r="A23" s="156" t="s">
        <v>134</v>
      </c>
      <c r="B23" s="169">
        <f>B22*SUM('Enrollment Forecast'!B6:B18)</f>
        <v>0</v>
      </c>
      <c r="C23" s="169">
        <f>C22*SUM('Enrollment Forecast'!C6:C18)</f>
        <v>0</v>
      </c>
      <c r="D23" s="169">
        <f>D22*SUM('Enrollment Forecast'!D6:D18)</f>
        <v>0</v>
      </c>
      <c r="E23" s="169">
        <f>E22*SUM('Enrollment Forecast'!E6:E18)</f>
        <v>0</v>
      </c>
      <c r="F23" s="169">
        <f>F22*SUM('Enrollment Forecast'!F6:F18)</f>
        <v>0</v>
      </c>
      <c r="H23" s="180"/>
      <c r="I23" s="175"/>
      <c r="J23" s="148" t="s">
        <v>128</v>
      </c>
      <c r="K23" s="188"/>
      <c r="L23" s="152"/>
    </row>
    <row r="24" spans="1:12" ht="33" customHeight="1" x14ac:dyDescent="0.2">
      <c r="A24" s="156" t="s">
        <v>143</v>
      </c>
      <c r="B24" s="170">
        <v>0</v>
      </c>
      <c r="C24" s="170">
        <v>0</v>
      </c>
      <c r="D24" s="170">
        <v>0</v>
      </c>
      <c r="E24" s="170">
        <v>0</v>
      </c>
      <c r="F24" s="170">
        <v>0</v>
      </c>
      <c r="H24" s="183"/>
      <c r="I24" s="175" t="s">
        <v>111</v>
      </c>
      <c r="J24" s="148"/>
      <c r="K24" s="187"/>
    </row>
    <row r="25" spans="1:12" ht="33" customHeight="1" x14ac:dyDescent="0.2">
      <c r="A25" s="156" t="s">
        <v>63</v>
      </c>
      <c r="B25" s="170">
        <v>0</v>
      </c>
      <c r="C25" s="170">
        <v>0</v>
      </c>
      <c r="D25" s="170">
        <v>0</v>
      </c>
      <c r="E25" s="170">
        <v>0</v>
      </c>
      <c r="F25" s="170">
        <v>0</v>
      </c>
      <c r="H25" s="183"/>
      <c r="I25" s="175" t="s">
        <v>111</v>
      </c>
      <c r="J25" s="148"/>
      <c r="K25" s="187"/>
    </row>
    <row r="26" spans="1:12" x14ac:dyDescent="0.2">
      <c r="A26" s="81"/>
      <c r="B26" s="80"/>
      <c r="C26" s="80"/>
      <c r="D26" s="80"/>
      <c r="E26" s="80"/>
      <c r="F26" s="80"/>
      <c r="I26" s="56"/>
      <c r="J26" s="56"/>
    </row>
    <row r="27" spans="1:12" x14ac:dyDescent="0.2">
      <c r="A27" s="59"/>
      <c r="B27" s="56"/>
      <c r="C27" s="56"/>
      <c r="D27" s="56"/>
      <c r="E27" s="56"/>
      <c r="F27" s="56"/>
      <c r="I27" s="56"/>
      <c r="J27" s="56"/>
    </row>
    <row r="28" spans="1:12" x14ac:dyDescent="0.2">
      <c r="A28" s="60" t="s">
        <v>36</v>
      </c>
      <c r="B28" s="56"/>
      <c r="C28" s="56"/>
      <c r="D28" s="56"/>
      <c r="E28" s="56"/>
      <c r="F28" s="56"/>
      <c r="I28" s="56"/>
      <c r="J28" s="56"/>
    </row>
    <row r="29" spans="1:12" ht="25.5" customHeight="1" x14ac:dyDescent="0.2">
      <c r="A29" s="57" t="s">
        <v>93</v>
      </c>
      <c r="B29" s="173">
        <v>0.03</v>
      </c>
      <c r="C29" s="173">
        <v>0.03</v>
      </c>
      <c r="D29" s="173">
        <v>0.03</v>
      </c>
      <c r="E29" s="173">
        <v>0.03</v>
      </c>
      <c r="F29" s="173">
        <v>0.03</v>
      </c>
      <c r="I29" s="56"/>
      <c r="J29" s="56"/>
    </row>
    <row r="30" spans="1:12" ht="25.5" customHeight="1" x14ac:dyDescent="0.2">
      <c r="A30" s="57" t="s">
        <v>94</v>
      </c>
      <c r="B30" s="173">
        <v>0.01</v>
      </c>
      <c r="C30" s="173">
        <v>0.01</v>
      </c>
      <c r="D30" s="173">
        <v>0.01</v>
      </c>
      <c r="E30" s="173">
        <v>0.01</v>
      </c>
      <c r="F30" s="173">
        <v>0.01</v>
      </c>
      <c r="I30" s="56"/>
      <c r="J30" s="56"/>
    </row>
    <row r="31" spans="1:12" ht="25.5" customHeight="1" x14ac:dyDescent="0.2">
      <c r="A31" s="58" t="s">
        <v>69</v>
      </c>
      <c r="B31" s="195">
        <v>0.20150000000000001</v>
      </c>
      <c r="C31" s="195">
        <v>0.20399999999999999</v>
      </c>
      <c r="D31" s="195">
        <v>0.20399999999999999</v>
      </c>
      <c r="E31" s="195">
        <v>0.20399999999999999</v>
      </c>
      <c r="F31" s="195">
        <v>0.20399999999999999</v>
      </c>
      <c r="I31" s="56"/>
      <c r="J31" s="56"/>
    </row>
    <row r="32" spans="1:12" ht="25.5" customHeight="1" x14ac:dyDescent="0.2">
      <c r="A32" s="58" t="s">
        <v>33</v>
      </c>
      <c r="B32" s="195">
        <v>1.4500000000000001E-2</v>
      </c>
      <c r="C32" s="195">
        <v>1.4500000000000001E-2</v>
      </c>
      <c r="D32" s="195">
        <v>1.4500000000000001E-2</v>
      </c>
      <c r="E32" s="195">
        <v>1.4500000000000001E-2</v>
      </c>
      <c r="F32" s="195">
        <v>1.4500000000000001E-2</v>
      </c>
      <c r="H32" s="154"/>
      <c r="I32" s="56"/>
      <c r="J32" s="56"/>
    </row>
  </sheetData>
  <mergeCells count="1">
    <mergeCell ref="H3:I3"/>
  </mergeCells>
  <phoneticPr fontId="2" type="noConversion"/>
  <printOptions horizontalCentered="1"/>
  <pageMargins left="0.27" right="0.2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H104"/>
  <sheetViews>
    <sheetView topLeftCell="A60" workbookViewId="0">
      <selection activeCell="B93" sqref="B93"/>
    </sheetView>
  </sheetViews>
  <sheetFormatPr defaultColWidth="11.42578125" defaultRowHeight="12.75" x14ac:dyDescent="0.2"/>
  <cols>
    <col min="1" max="1" width="36.5703125" style="40" customWidth="1"/>
    <col min="2" max="6" width="12.85546875" style="17" customWidth="1"/>
    <col min="7" max="7" width="0.7109375" style="17" customWidth="1"/>
    <col min="8" max="16384" width="11.42578125" style="17"/>
  </cols>
  <sheetData>
    <row r="1" spans="1:7" ht="18.75" x14ac:dyDescent="0.3">
      <c r="A1" s="18" t="s">
        <v>169</v>
      </c>
      <c r="B1" s="19"/>
      <c r="C1" s="19"/>
      <c r="D1" s="19"/>
      <c r="E1" s="19"/>
      <c r="F1" s="19"/>
      <c r="G1" s="20"/>
    </row>
    <row r="2" spans="1:7" ht="5.25" customHeight="1" x14ac:dyDescent="0.3">
      <c r="A2" s="18"/>
      <c r="B2" s="19" t="s">
        <v>51</v>
      </c>
      <c r="C2" s="19"/>
      <c r="D2" s="19"/>
      <c r="E2" s="19"/>
      <c r="F2" s="19"/>
      <c r="G2" s="20"/>
    </row>
    <row r="3" spans="1:7" s="24" customFormat="1" ht="20.25" customHeight="1" x14ac:dyDescent="0.2">
      <c r="A3" s="21"/>
      <c r="B3" s="22" t="str">
        <f>'Enrollment Forecast'!B4</f>
        <v>FY 2018-19</v>
      </c>
      <c r="C3" s="22" t="str">
        <f>'Enrollment Forecast'!C4</f>
        <v>FY 2019-20</v>
      </c>
      <c r="D3" s="22" t="str">
        <f>'Enrollment Forecast'!D4</f>
        <v>FY 2020-21</v>
      </c>
      <c r="E3" s="22" t="str">
        <f>'Enrollment Forecast'!E4</f>
        <v>FY 2021-22</v>
      </c>
      <c r="F3" s="22" t="str">
        <f>'Enrollment Forecast'!F4</f>
        <v>FY 2022-23</v>
      </c>
      <c r="G3" s="23"/>
    </row>
    <row r="4" spans="1:7" s="24" customFormat="1" ht="12" x14ac:dyDescent="0.2">
      <c r="A4" s="61" t="s">
        <v>50</v>
      </c>
      <c r="B4" s="25">
        <f>'Enrollment Forecast'!B25</f>
        <v>0</v>
      </c>
      <c r="C4" s="25">
        <f>'Enrollment Forecast'!C25</f>
        <v>0</v>
      </c>
      <c r="D4" s="25">
        <f>'Enrollment Forecast'!D25</f>
        <v>0</v>
      </c>
      <c r="E4" s="25">
        <f>'Enrollment Forecast'!E25</f>
        <v>0</v>
      </c>
      <c r="F4" s="25">
        <f>'Enrollment Forecast'!F25</f>
        <v>0</v>
      </c>
      <c r="G4" s="23"/>
    </row>
    <row r="5" spans="1:7" s="24" customFormat="1" ht="13.5" customHeight="1" x14ac:dyDescent="0.2">
      <c r="A5" s="21" t="s">
        <v>34</v>
      </c>
      <c r="B5" s="26"/>
      <c r="C5" s="26"/>
      <c r="D5" s="26"/>
      <c r="E5" s="27"/>
      <c r="F5" s="26"/>
      <c r="G5" s="23"/>
    </row>
    <row r="6" spans="1:7" s="30" customFormat="1" ht="11.25" x14ac:dyDescent="0.2">
      <c r="A6" s="92" t="s">
        <v>0</v>
      </c>
      <c r="B6" s="196"/>
      <c r="C6" s="196"/>
      <c r="D6" s="196"/>
      <c r="E6" s="196"/>
      <c r="F6" s="196"/>
      <c r="G6" s="29"/>
    </row>
    <row r="7" spans="1:7" s="30" customFormat="1" ht="11.25" x14ac:dyDescent="0.2">
      <c r="A7" s="138" t="s">
        <v>142</v>
      </c>
      <c r="B7" s="196">
        <f>'Forecast Assumptions'!B24</f>
        <v>0</v>
      </c>
      <c r="C7" s="196">
        <f>'Forecast Assumptions'!C24</f>
        <v>0</v>
      </c>
      <c r="D7" s="196">
        <f>'Forecast Assumptions'!D24</f>
        <v>0</v>
      </c>
      <c r="E7" s="196">
        <f>'Forecast Assumptions'!E24</f>
        <v>0</v>
      </c>
      <c r="F7" s="196">
        <f>'Forecast Assumptions'!F24</f>
        <v>0</v>
      </c>
      <c r="G7" s="29"/>
    </row>
    <row r="8" spans="1:7" s="32" customFormat="1" ht="11.25" x14ac:dyDescent="0.2">
      <c r="A8" s="92" t="s">
        <v>140</v>
      </c>
      <c r="B8" s="196">
        <f>'Forecast Assumptions'!B25</f>
        <v>0</v>
      </c>
      <c r="C8" s="196">
        <f>'Forecast Assumptions'!C25</f>
        <v>0</v>
      </c>
      <c r="D8" s="196">
        <f>'Forecast Assumptions'!D25</f>
        <v>0</v>
      </c>
      <c r="E8" s="196">
        <f>'Forecast Assumptions'!E25</f>
        <v>0</v>
      </c>
      <c r="F8" s="196">
        <f>'Forecast Assumptions'!F25</f>
        <v>0</v>
      </c>
      <c r="G8" s="29"/>
    </row>
    <row r="9" spans="1:7" s="30" customFormat="1" ht="11.25" x14ac:dyDescent="0.2">
      <c r="A9" s="92" t="s">
        <v>1</v>
      </c>
      <c r="B9" s="196"/>
      <c r="C9" s="196"/>
      <c r="D9" s="196"/>
      <c r="E9" s="196"/>
      <c r="F9" s="196"/>
      <c r="G9" s="29"/>
    </row>
    <row r="10" spans="1:7" s="30" customFormat="1" ht="11.25" x14ac:dyDescent="0.2">
      <c r="A10" s="92" t="s">
        <v>90</v>
      </c>
      <c r="B10" s="196"/>
      <c r="C10" s="196"/>
      <c r="D10" s="196"/>
      <c r="E10" s="196"/>
      <c r="F10" s="196"/>
      <c r="G10" s="29"/>
    </row>
    <row r="11" spans="1:7" s="30" customFormat="1" ht="11.25" x14ac:dyDescent="0.2">
      <c r="A11" s="92" t="s">
        <v>2</v>
      </c>
      <c r="B11" s="196"/>
      <c r="C11" s="196"/>
      <c r="D11" s="196"/>
      <c r="E11" s="196"/>
      <c r="F11" s="196"/>
      <c r="G11" s="29"/>
    </row>
    <row r="12" spans="1:7" s="30" customFormat="1" ht="11.25" x14ac:dyDescent="0.2">
      <c r="A12" s="92" t="s">
        <v>3</v>
      </c>
      <c r="B12" s="196"/>
      <c r="C12" s="196"/>
      <c r="D12" s="196"/>
      <c r="E12" s="196"/>
      <c r="F12" s="196"/>
      <c r="G12" s="29"/>
    </row>
    <row r="13" spans="1:7" s="30" customFormat="1" ht="11.25" x14ac:dyDescent="0.2">
      <c r="A13" s="93" t="s">
        <v>4</v>
      </c>
      <c r="B13" s="196"/>
      <c r="C13" s="196"/>
      <c r="D13" s="196"/>
      <c r="E13" s="196"/>
      <c r="F13" s="196"/>
      <c r="G13" s="29"/>
    </row>
    <row r="14" spans="1:7" s="30" customFormat="1" ht="11.25" x14ac:dyDescent="0.2">
      <c r="A14" s="93" t="s">
        <v>5</v>
      </c>
      <c r="B14" s="196"/>
      <c r="C14" s="196"/>
      <c r="D14" s="196"/>
      <c r="E14" s="196"/>
      <c r="F14" s="196"/>
      <c r="G14" s="29"/>
    </row>
    <row r="15" spans="1:7" s="30" customFormat="1" ht="11.25" x14ac:dyDescent="0.2">
      <c r="A15" s="93" t="s">
        <v>103</v>
      </c>
      <c r="B15" s="196">
        <f>'Forecast Assumptions'!B8</f>
        <v>0</v>
      </c>
      <c r="C15" s="196">
        <f>'Forecast Assumptions'!C8</f>
        <v>0</v>
      </c>
      <c r="D15" s="196">
        <f>'Forecast Assumptions'!D8</f>
        <v>0</v>
      </c>
      <c r="E15" s="196">
        <f>'Forecast Assumptions'!E8</f>
        <v>0</v>
      </c>
      <c r="F15" s="196">
        <f>'Forecast Assumptions'!F8</f>
        <v>0</v>
      </c>
      <c r="G15" s="29"/>
    </row>
    <row r="16" spans="1:7" s="30" customFormat="1" ht="11.25" x14ac:dyDescent="0.2">
      <c r="A16" s="92" t="s">
        <v>105</v>
      </c>
      <c r="B16" s="196">
        <f>'Forecast Assumptions'!B10</f>
        <v>0</v>
      </c>
      <c r="C16" s="196">
        <f>'Forecast Assumptions'!C10</f>
        <v>0</v>
      </c>
      <c r="D16" s="196">
        <f>'Forecast Assumptions'!D10</f>
        <v>0</v>
      </c>
      <c r="E16" s="196">
        <f>'Forecast Assumptions'!E10</f>
        <v>0</v>
      </c>
      <c r="F16" s="196">
        <f>'Forecast Assumptions'!F10</f>
        <v>0</v>
      </c>
      <c r="G16" s="29"/>
    </row>
    <row r="17" spans="1:7" s="30" customFormat="1" ht="11.25" x14ac:dyDescent="0.2">
      <c r="A17" s="92" t="s">
        <v>83</v>
      </c>
      <c r="B17" s="196">
        <f>'Forecast Assumptions'!B13</f>
        <v>500</v>
      </c>
      <c r="C17" s="196">
        <f>'Forecast Assumptions'!C13</f>
        <v>500</v>
      </c>
      <c r="D17" s="196">
        <f>'Forecast Assumptions'!D13</f>
        <v>500</v>
      </c>
      <c r="E17" s="196">
        <f>'Forecast Assumptions'!E13</f>
        <v>500</v>
      </c>
      <c r="F17" s="196">
        <f>'Forecast Assumptions'!F13</f>
        <v>500</v>
      </c>
      <c r="G17" s="29"/>
    </row>
    <row r="18" spans="1:7" s="30" customFormat="1" ht="11.25" x14ac:dyDescent="0.2">
      <c r="A18" s="92" t="s">
        <v>91</v>
      </c>
      <c r="B18" s="196"/>
      <c r="C18" s="196"/>
      <c r="D18" s="196"/>
      <c r="E18" s="196"/>
      <c r="F18" s="196"/>
      <c r="G18" s="29"/>
    </row>
    <row r="19" spans="1:7" s="30" customFormat="1" ht="11.25" x14ac:dyDescent="0.2">
      <c r="A19" s="92" t="s">
        <v>121</v>
      </c>
      <c r="B19" s="196">
        <f>'Forecast Assumptions'!B15</f>
        <v>0</v>
      </c>
      <c r="C19" s="196">
        <f>'Forecast Assumptions'!C15</f>
        <v>0</v>
      </c>
      <c r="D19" s="196">
        <f>'Forecast Assumptions'!D15</f>
        <v>0</v>
      </c>
      <c r="E19" s="196">
        <f>'Forecast Assumptions'!E15</f>
        <v>0</v>
      </c>
      <c r="F19" s="196">
        <f>'Forecast Assumptions'!F15</f>
        <v>0</v>
      </c>
      <c r="G19" s="29"/>
    </row>
    <row r="20" spans="1:7" s="30" customFormat="1" ht="11.25" x14ac:dyDescent="0.2">
      <c r="A20" s="92" t="s">
        <v>190</v>
      </c>
      <c r="B20" s="196">
        <f>__FTE1*'Forecast Assumptions'!B17</f>
        <v>0</v>
      </c>
      <c r="C20" s="196">
        <f>__FTE1*'Forecast Assumptions'!C17</f>
        <v>0</v>
      </c>
      <c r="D20" s="196">
        <f>__FTE1*'Forecast Assumptions'!D17</f>
        <v>0</v>
      </c>
      <c r="E20" s="196">
        <f>__FTE1*'Forecast Assumptions'!E17</f>
        <v>0</v>
      </c>
      <c r="F20" s="196">
        <f>__FTE1*'Forecast Assumptions'!F17</f>
        <v>0</v>
      </c>
      <c r="G20" s="29"/>
    </row>
    <row r="21" spans="1:7" s="30" customFormat="1" ht="11.25" x14ac:dyDescent="0.2">
      <c r="A21" s="92" t="s">
        <v>80</v>
      </c>
      <c r="B21" s="196">
        <f>'Forecast Assumptions'!B18</f>
        <v>0</v>
      </c>
      <c r="C21" s="196">
        <f>'Forecast Assumptions'!C18</f>
        <v>0</v>
      </c>
      <c r="D21" s="196">
        <f>'Forecast Assumptions'!D18</f>
        <v>0</v>
      </c>
      <c r="E21" s="196">
        <f>'Forecast Assumptions'!E18</f>
        <v>0</v>
      </c>
      <c r="F21" s="196">
        <f>'Forecast Assumptions'!F18</f>
        <v>0</v>
      </c>
      <c r="G21" s="29"/>
    </row>
    <row r="22" spans="1:7" s="30" customFormat="1" ht="11.25" x14ac:dyDescent="0.2">
      <c r="A22" s="92" t="s">
        <v>104</v>
      </c>
      <c r="B22" s="196">
        <f>'Forecast Assumptions'!B19</f>
        <v>0</v>
      </c>
      <c r="C22" s="196">
        <f>'Forecast Assumptions'!C19</f>
        <v>0</v>
      </c>
      <c r="D22" s="196">
        <f>'Forecast Assumptions'!D19</f>
        <v>0</v>
      </c>
      <c r="E22" s="196">
        <f>'Forecast Assumptions'!E19</f>
        <v>0</v>
      </c>
      <c r="F22" s="196">
        <f>'Forecast Assumptions'!F19</f>
        <v>0</v>
      </c>
      <c r="G22" s="29"/>
    </row>
    <row r="23" spans="1:7" s="30" customFormat="1" ht="11.25" x14ac:dyDescent="0.2">
      <c r="A23" s="92" t="s">
        <v>81</v>
      </c>
      <c r="B23" s="196">
        <f>'Forecast Assumptions'!B20</f>
        <v>0</v>
      </c>
      <c r="C23" s="196">
        <f>'Forecast Assumptions'!C20</f>
        <v>0</v>
      </c>
      <c r="D23" s="196">
        <f>'Forecast Assumptions'!D20</f>
        <v>0</v>
      </c>
      <c r="E23" s="196">
        <f>'Forecast Assumptions'!E20</f>
        <v>0</v>
      </c>
      <c r="F23" s="196">
        <f>'Forecast Assumptions'!F20</f>
        <v>0</v>
      </c>
      <c r="G23" s="29"/>
    </row>
    <row r="24" spans="1:7" s="30" customFormat="1" ht="11.25" x14ac:dyDescent="0.2">
      <c r="A24" s="92" t="s">
        <v>211</v>
      </c>
      <c r="B24" s="196">
        <f>MAX('Forecast Assumptions'!B21,1500)</f>
        <v>1500</v>
      </c>
      <c r="C24" s="196">
        <f>MAX('Forecast Assumptions'!C21,1500)</f>
        <v>1500</v>
      </c>
      <c r="D24" s="196">
        <f>MAX('Forecast Assumptions'!D21,1500)</f>
        <v>1500</v>
      </c>
      <c r="E24" s="196">
        <f>MAX('Forecast Assumptions'!E21,1500)</f>
        <v>1500</v>
      </c>
      <c r="F24" s="196">
        <f>MAX('Forecast Assumptions'!F21,1500)</f>
        <v>1500</v>
      </c>
      <c r="G24" s="29"/>
    </row>
    <row r="25" spans="1:7" s="30" customFormat="1" ht="11.25" x14ac:dyDescent="0.2">
      <c r="A25" s="92" t="s">
        <v>92</v>
      </c>
      <c r="B25" s="196"/>
      <c r="C25" s="196"/>
      <c r="D25" s="196"/>
      <c r="E25" s="196"/>
      <c r="F25" s="196"/>
      <c r="G25" s="29"/>
    </row>
    <row r="26" spans="1:7" s="30" customFormat="1" ht="11.25" x14ac:dyDescent="0.2">
      <c r="A26" s="92" t="s">
        <v>82</v>
      </c>
      <c r="B26" s="196"/>
      <c r="C26" s="196"/>
      <c r="D26" s="196"/>
      <c r="E26" s="196"/>
      <c r="F26" s="196"/>
      <c r="G26" s="29"/>
    </row>
    <row r="27" spans="1:7" s="30" customFormat="1" ht="11.25" x14ac:dyDescent="0.2">
      <c r="A27" s="92" t="s">
        <v>66</v>
      </c>
      <c r="B27" s="196">
        <f>'Forecast Assumptions'!B4*('Enrollment Forecast'!B25-('Enrollment Forecast'!B21*0.5))</f>
        <v>0</v>
      </c>
      <c r="C27" s="196">
        <f>'Forecast Assumptions'!C4*('Enrollment Forecast'!C25-('Enrollment Forecast'!C21*0.5))</f>
        <v>0</v>
      </c>
      <c r="D27" s="196">
        <f>'Forecast Assumptions'!D4*('Enrollment Forecast'!D25-('Enrollment Forecast'!D21*0.5))</f>
        <v>0</v>
      </c>
      <c r="E27" s="196">
        <f>'Forecast Assumptions'!E4*('Enrollment Forecast'!E25-('Enrollment Forecast'!E21*0.5))</f>
        <v>0</v>
      </c>
      <c r="F27" s="196">
        <f>'Forecast Assumptions'!F4*('Enrollment Forecast'!F25-('Enrollment Forecast'!F21*0.5))</f>
        <v>0</v>
      </c>
      <c r="G27" s="29"/>
    </row>
    <row r="28" spans="1:7" s="30" customFormat="1" ht="12" thickBot="1" x14ac:dyDescent="0.25">
      <c r="A28" s="93" t="s">
        <v>141</v>
      </c>
      <c r="B28" s="198">
        <f>'Enrollment Forecast'!B21*0.5*'Forecast Assumptions'!B4</f>
        <v>0</v>
      </c>
      <c r="C28" s="198">
        <f>'Enrollment Forecast'!C21*0.5*'Forecast Assumptions'!C4</f>
        <v>0</v>
      </c>
      <c r="D28" s="198">
        <f>'Enrollment Forecast'!D21*0.5*'Forecast Assumptions'!D4</f>
        <v>0</v>
      </c>
      <c r="E28" s="198">
        <f>'Enrollment Forecast'!E21*0.5*'Forecast Assumptions'!E4</f>
        <v>0</v>
      </c>
      <c r="F28" s="198">
        <f>'Enrollment Forecast'!F21*0.5*'Forecast Assumptions'!F4</f>
        <v>0</v>
      </c>
      <c r="G28" s="29"/>
    </row>
    <row r="29" spans="1:7" s="30" customFormat="1" ht="11.25" x14ac:dyDescent="0.2">
      <c r="A29" s="33" t="s">
        <v>35</v>
      </c>
      <c r="B29" s="196">
        <f>SUM(B6:B28)</f>
        <v>2000</v>
      </c>
      <c r="C29" s="196">
        <f>SUM(C6:C28)</f>
        <v>2000</v>
      </c>
      <c r="D29" s="196">
        <f>SUM(D6:D28)</f>
        <v>2000</v>
      </c>
      <c r="E29" s="196">
        <f>SUM(E6:E28)</f>
        <v>2000</v>
      </c>
      <c r="F29" s="196">
        <f>SUM(F6:F28)</f>
        <v>2000</v>
      </c>
      <c r="G29" s="29"/>
    </row>
    <row r="30" spans="1:7" s="30" customFormat="1" ht="11.25" x14ac:dyDescent="0.2">
      <c r="A30" s="34"/>
      <c r="B30" s="31"/>
      <c r="C30" s="31"/>
      <c r="D30" s="31"/>
      <c r="E30" s="38"/>
      <c r="F30" s="31"/>
      <c r="G30" s="29"/>
    </row>
    <row r="31" spans="1:7" s="30" customFormat="1" ht="11.25" x14ac:dyDescent="0.2">
      <c r="A31" s="33" t="s">
        <v>36</v>
      </c>
      <c r="B31" s="31"/>
      <c r="C31" s="31"/>
      <c r="D31" s="31"/>
      <c r="E31" s="31"/>
      <c r="F31" s="31"/>
      <c r="G31" s="29"/>
    </row>
    <row r="32" spans="1:7" s="30" customFormat="1" ht="11.25" x14ac:dyDescent="0.2">
      <c r="A32" s="28" t="s">
        <v>57</v>
      </c>
      <c r="B32" s="196">
        <f>'Staffing Forecast'!B47</f>
        <v>0</v>
      </c>
      <c r="C32" s="196">
        <f>'Staffing Forecast'!C47</f>
        <v>0</v>
      </c>
      <c r="D32" s="196">
        <f>'Staffing Forecast'!D47</f>
        <v>0</v>
      </c>
      <c r="E32" s="196">
        <f>'Staffing Forecast'!E47</f>
        <v>0</v>
      </c>
      <c r="F32" s="196">
        <f>'Staffing Forecast'!F47</f>
        <v>0</v>
      </c>
      <c r="G32" s="29"/>
    </row>
    <row r="33" spans="1:7" s="30" customFormat="1" ht="11.25" x14ac:dyDescent="0.2">
      <c r="A33" s="28" t="s">
        <v>55</v>
      </c>
      <c r="B33" s="196"/>
      <c r="C33" s="196"/>
      <c r="D33" s="196"/>
      <c r="E33" s="196"/>
      <c r="F33" s="196"/>
      <c r="G33" s="29"/>
    </row>
    <row r="34" spans="1:7" s="30" customFormat="1" ht="11.25" x14ac:dyDescent="0.2">
      <c r="A34" s="28" t="s">
        <v>6</v>
      </c>
      <c r="B34" s="196">
        <f>(B32+B33)*0.0145</f>
        <v>0</v>
      </c>
      <c r="C34" s="196">
        <f t="shared" ref="C34:F34" si="0">(C32+C33)*0.0145</f>
        <v>0</v>
      </c>
      <c r="D34" s="196">
        <f t="shared" si="0"/>
        <v>0</v>
      </c>
      <c r="E34" s="196">
        <f t="shared" si="0"/>
        <v>0</v>
      </c>
      <c r="F34" s="196">
        <f t="shared" si="0"/>
        <v>0</v>
      </c>
      <c r="G34" s="29"/>
    </row>
    <row r="35" spans="1:7" s="30" customFormat="1" ht="11.25" x14ac:dyDescent="0.2">
      <c r="A35" s="28" t="s">
        <v>84</v>
      </c>
      <c r="B35" s="196">
        <f>(B32+B33)*'Forecast Assumptions'!B31</f>
        <v>0</v>
      </c>
      <c r="C35" s="196">
        <f>(C32+C33)*'Forecast Assumptions'!C31</f>
        <v>0</v>
      </c>
      <c r="D35" s="196">
        <f>(D32+D33)*'Forecast Assumptions'!D31</f>
        <v>0</v>
      </c>
      <c r="E35" s="196">
        <f>(E32+E33)*'Forecast Assumptions'!E31</f>
        <v>0</v>
      </c>
      <c r="F35" s="196">
        <f>(F32+F33)*'Forecast Assumptions'!F31</f>
        <v>0</v>
      </c>
      <c r="G35" s="29"/>
    </row>
    <row r="36" spans="1:7" s="30" customFormat="1" ht="11.25" x14ac:dyDescent="0.2">
      <c r="A36" s="28" t="s">
        <v>7</v>
      </c>
      <c r="B36" s="196"/>
      <c r="C36" s="196"/>
      <c r="D36" s="196"/>
      <c r="E36" s="196"/>
      <c r="F36" s="196"/>
      <c r="G36" s="29"/>
    </row>
    <row r="37" spans="1:7" s="30" customFormat="1" ht="11.25" x14ac:dyDescent="0.2">
      <c r="A37" s="28" t="s">
        <v>8</v>
      </c>
      <c r="B37" s="196"/>
      <c r="C37" s="196"/>
      <c r="D37" s="196"/>
      <c r="E37" s="196"/>
      <c r="F37" s="196"/>
      <c r="G37" s="29"/>
    </row>
    <row r="38" spans="1:7" s="30" customFormat="1" ht="11.25" x14ac:dyDescent="0.2">
      <c r="A38" s="28" t="s">
        <v>9</v>
      </c>
      <c r="B38" s="196"/>
      <c r="C38" s="196"/>
      <c r="D38" s="196"/>
      <c r="E38" s="196"/>
      <c r="F38" s="196"/>
      <c r="G38" s="29"/>
    </row>
    <row r="39" spans="1:7" s="30" customFormat="1" ht="11.25" x14ac:dyDescent="0.2">
      <c r="A39" s="102" t="s">
        <v>89</v>
      </c>
      <c r="B39" s="196"/>
      <c r="C39" s="196"/>
      <c r="D39" s="196"/>
      <c r="E39" s="196"/>
      <c r="F39" s="196"/>
      <c r="G39" s="29"/>
    </row>
    <row r="40" spans="1:7" s="30" customFormat="1" ht="11.25" x14ac:dyDescent="0.2">
      <c r="A40" s="28" t="s">
        <v>62</v>
      </c>
      <c r="B40" s="196"/>
      <c r="C40" s="196"/>
      <c r="D40" s="196"/>
      <c r="E40" s="196"/>
      <c r="F40" s="196"/>
      <c r="G40" s="29"/>
    </row>
    <row r="41" spans="1:7" s="30" customFormat="1" ht="11.25" x14ac:dyDescent="0.2">
      <c r="A41" s="28" t="s">
        <v>10</v>
      </c>
      <c r="B41" s="196"/>
      <c r="C41" s="196"/>
      <c r="D41" s="196"/>
      <c r="E41" s="196"/>
      <c r="F41" s="196"/>
      <c r="G41" s="29"/>
    </row>
    <row r="42" spans="1:7" s="30" customFormat="1" ht="11.25" x14ac:dyDescent="0.2">
      <c r="A42" s="28" t="s">
        <v>201</v>
      </c>
      <c r="B42" s="196"/>
      <c r="C42" s="196"/>
      <c r="D42" s="196"/>
      <c r="E42" s="196"/>
      <c r="F42" s="196"/>
      <c r="G42" s="29"/>
    </row>
    <row r="43" spans="1:7" s="30" customFormat="1" ht="11.25" x14ac:dyDescent="0.2">
      <c r="A43" s="28" t="s">
        <v>202</v>
      </c>
      <c r="B43" s="196"/>
      <c r="C43" s="196"/>
      <c r="D43" s="196"/>
      <c r="E43" s="196"/>
      <c r="F43" s="196"/>
      <c r="G43" s="29"/>
    </row>
    <row r="44" spans="1:7" s="30" customFormat="1" ht="11.25" x14ac:dyDescent="0.2">
      <c r="A44" s="28" t="s">
        <v>203</v>
      </c>
      <c r="B44" s="196"/>
      <c r="C44" s="196"/>
      <c r="D44" s="196"/>
      <c r="E44" s="196"/>
      <c r="F44" s="196"/>
      <c r="G44" s="29"/>
    </row>
    <row r="45" spans="1:7" s="30" customFormat="1" ht="11.25" x14ac:dyDescent="0.2">
      <c r="A45" s="28" t="s">
        <v>204</v>
      </c>
      <c r="B45" s="196"/>
      <c r="C45" s="196"/>
      <c r="D45" s="196"/>
      <c r="E45" s="196"/>
      <c r="F45" s="196"/>
      <c r="G45" s="29"/>
    </row>
    <row r="46" spans="1:7" s="30" customFormat="1" ht="11.25" x14ac:dyDescent="0.2">
      <c r="A46" s="28" t="s">
        <v>85</v>
      </c>
      <c r="B46" s="196"/>
      <c r="C46" s="196"/>
      <c r="D46" s="196"/>
      <c r="E46" s="196"/>
      <c r="F46" s="196"/>
      <c r="G46" s="29"/>
    </row>
    <row r="47" spans="1:7" s="30" customFormat="1" ht="11.25" x14ac:dyDescent="0.2">
      <c r="A47" s="28" t="s">
        <v>11</v>
      </c>
      <c r="B47" s="196"/>
      <c r="C47" s="196"/>
      <c r="D47" s="196"/>
      <c r="E47" s="196"/>
      <c r="F47" s="196"/>
      <c r="G47" s="29"/>
    </row>
    <row r="48" spans="1:7" s="30" customFormat="1" ht="11.25" x14ac:dyDescent="0.2">
      <c r="A48" s="28" t="s">
        <v>12</v>
      </c>
      <c r="B48" s="196"/>
      <c r="C48" s="196"/>
      <c r="D48" s="196"/>
      <c r="E48" s="196"/>
      <c r="F48" s="196"/>
      <c r="G48" s="29"/>
    </row>
    <row r="49" spans="1:7" s="30" customFormat="1" ht="11.25" x14ac:dyDescent="0.2">
      <c r="A49" s="28" t="s">
        <v>13</v>
      </c>
      <c r="B49" s="196"/>
      <c r="C49" s="196"/>
      <c r="D49" s="196"/>
      <c r="E49" s="196"/>
      <c r="F49" s="196"/>
      <c r="G49" s="29"/>
    </row>
    <row r="50" spans="1:7" s="30" customFormat="1" ht="11.25" x14ac:dyDescent="0.2">
      <c r="A50" s="28" t="s">
        <v>14</v>
      </c>
      <c r="B50" s="196"/>
      <c r="C50" s="196"/>
      <c r="D50" s="196"/>
      <c r="E50" s="196"/>
      <c r="F50" s="196"/>
      <c r="G50" s="29"/>
    </row>
    <row r="51" spans="1:7" s="30" customFormat="1" ht="11.25" x14ac:dyDescent="0.2">
      <c r="A51" s="28" t="s">
        <v>97</v>
      </c>
      <c r="B51" s="196"/>
      <c r="C51" s="196"/>
      <c r="D51" s="196"/>
      <c r="E51" s="196"/>
      <c r="F51" s="196"/>
      <c r="G51" s="29"/>
    </row>
    <row r="52" spans="1:7" s="30" customFormat="1" ht="11.25" x14ac:dyDescent="0.2">
      <c r="A52" s="28" t="s">
        <v>15</v>
      </c>
      <c r="B52" s="196"/>
      <c r="C52" s="196"/>
      <c r="D52" s="196"/>
      <c r="E52" s="196"/>
      <c r="F52" s="196"/>
      <c r="G52" s="29"/>
    </row>
    <row r="53" spans="1:7" s="30" customFormat="1" ht="11.25" x14ac:dyDescent="0.2">
      <c r="A53" s="28" t="s">
        <v>16</v>
      </c>
      <c r="B53" s="196"/>
      <c r="C53" s="196"/>
      <c r="D53" s="196"/>
      <c r="E53" s="196"/>
      <c r="F53" s="196"/>
      <c r="G53" s="29"/>
    </row>
    <row r="54" spans="1:7" s="30" customFormat="1" ht="11.25" x14ac:dyDescent="0.2">
      <c r="A54" s="28" t="s">
        <v>17</v>
      </c>
      <c r="B54" s="196"/>
      <c r="C54" s="196"/>
      <c r="D54" s="196"/>
      <c r="E54" s="196"/>
      <c r="F54" s="196"/>
      <c r="G54" s="29"/>
    </row>
    <row r="55" spans="1:7" s="30" customFormat="1" ht="11.25" x14ac:dyDescent="0.2">
      <c r="A55" s="28" t="s">
        <v>18</v>
      </c>
      <c r="B55" s="196"/>
      <c r="C55" s="196"/>
      <c r="D55" s="196"/>
      <c r="E55" s="196"/>
      <c r="F55" s="196"/>
      <c r="G55" s="29"/>
    </row>
    <row r="56" spans="1:7" s="30" customFormat="1" ht="11.25" x14ac:dyDescent="0.2">
      <c r="A56" s="28" t="s">
        <v>109</v>
      </c>
      <c r="B56" s="196"/>
      <c r="C56" s="196"/>
      <c r="D56" s="196"/>
      <c r="E56" s="196"/>
      <c r="F56" s="196"/>
      <c r="G56" s="29"/>
    </row>
    <row r="57" spans="1:7" s="30" customFormat="1" ht="11.25" x14ac:dyDescent="0.2">
      <c r="A57" s="28" t="s">
        <v>19</v>
      </c>
      <c r="B57" s="196"/>
      <c r="C57" s="196"/>
      <c r="D57" s="196"/>
      <c r="E57" s="196"/>
      <c r="F57" s="196"/>
      <c r="G57" s="29"/>
    </row>
    <row r="58" spans="1:7" s="30" customFormat="1" ht="11.25" x14ac:dyDescent="0.2">
      <c r="A58" s="28" t="s">
        <v>20</v>
      </c>
      <c r="B58" s="196"/>
      <c r="C58" s="196"/>
      <c r="D58" s="196"/>
      <c r="E58" s="196"/>
      <c r="F58" s="196"/>
      <c r="G58" s="29"/>
    </row>
    <row r="59" spans="1:7" s="30" customFormat="1" ht="11.25" x14ac:dyDescent="0.2">
      <c r="A59" s="28" t="s">
        <v>21</v>
      </c>
      <c r="B59" s="196"/>
      <c r="C59" s="196"/>
      <c r="D59" s="196"/>
      <c r="E59" s="196"/>
      <c r="F59" s="196"/>
      <c r="G59" s="29"/>
    </row>
    <row r="60" spans="1:7" s="30" customFormat="1" ht="11.25" x14ac:dyDescent="0.2">
      <c r="A60" s="28" t="s">
        <v>22</v>
      </c>
      <c r="B60" s="196"/>
      <c r="C60" s="196"/>
      <c r="D60" s="196"/>
      <c r="E60" s="196"/>
      <c r="F60" s="196"/>
      <c r="G60" s="29"/>
    </row>
    <row r="61" spans="1:7" s="30" customFormat="1" ht="11.25" x14ac:dyDescent="0.2">
      <c r="A61" s="102" t="s">
        <v>39</v>
      </c>
      <c r="B61" s="196"/>
      <c r="C61" s="196"/>
      <c r="D61" s="196"/>
      <c r="E61" s="196"/>
      <c r="F61" s="196"/>
      <c r="G61" s="29"/>
    </row>
    <row r="62" spans="1:7" s="30" customFormat="1" ht="11.25" x14ac:dyDescent="0.2">
      <c r="A62" s="28" t="s">
        <v>23</v>
      </c>
      <c r="B62" s="196"/>
      <c r="C62" s="196"/>
      <c r="D62" s="196"/>
      <c r="E62" s="196"/>
      <c r="F62" s="196"/>
      <c r="G62" s="29"/>
    </row>
    <row r="63" spans="1:7" s="30" customFormat="1" ht="11.25" x14ac:dyDescent="0.2">
      <c r="A63" s="28" t="s">
        <v>88</v>
      </c>
      <c r="B63" s="196">
        <f>B27*0.03</f>
        <v>0</v>
      </c>
      <c r="C63" s="196">
        <f>C27*0.03</f>
        <v>0</v>
      </c>
      <c r="D63" s="196">
        <f>D27*0.03</f>
        <v>0</v>
      </c>
      <c r="E63" s="196">
        <f>E27*0.03</f>
        <v>0</v>
      </c>
      <c r="F63" s="196">
        <f>F27*0.03</f>
        <v>0</v>
      </c>
      <c r="G63" s="29"/>
    </row>
    <row r="64" spans="1:7" s="30" customFormat="1" ht="11.25" x14ac:dyDescent="0.2">
      <c r="A64" s="28" t="s">
        <v>87</v>
      </c>
      <c r="B64" s="196">
        <f>B27*0.01</f>
        <v>0</v>
      </c>
      <c r="C64" s="196">
        <f>C27*0.01</f>
        <v>0</v>
      </c>
      <c r="D64" s="196">
        <f>D27*0.01</f>
        <v>0</v>
      </c>
      <c r="E64" s="196">
        <f>E27*0.01</f>
        <v>0</v>
      </c>
      <c r="F64" s="196">
        <f>F27*0.01</f>
        <v>0</v>
      </c>
      <c r="G64" s="29"/>
    </row>
    <row r="65" spans="1:7" s="30" customFormat="1" ht="11.25" x14ac:dyDescent="0.2">
      <c r="A65" s="28" t="s">
        <v>24</v>
      </c>
      <c r="B65" s="196"/>
      <c r="C65" s="196"/>
      <c r="D65" s="196"/>
      <c r="E65" s="196"/>
      <c r="F65" s="196"/>
      <c r="G65" s="29"/>
    </row>
    <row r="66" spans="1:7" s="30" customFormat="1" ht="11.25" x14ac:dyDescent="0.2">
      <c r="A66" s="28" t="s">
        <v>25</v>
      </c>
      <c r="B66" s="196"/>
      <c r="C66" s="196"/>
      <c r="D66" s="196"/>
      <c r="E66" s="196"/>
      <c r="F66" s="196"/>
      <c r="G66" s="29"/>
    </row>
    <row r="67" spans="1:7" s="30" customFormat="1" ht="11.25" x14ac:dyDescent="0.2">
      <c r="A67" s="28" t="s">
        <v>38</v>
      </c>
      <c r="B67" s="196"/>
      <c r="C67" s="196"/>
      <c r="D67" s="196"/>
      <c r="E67" s="196"/>
      <c r="F67" s="196"/>
      <c r="G67" s="29"/>
    </row>
    <row r="68" spans="1:7" s="30" customFormat="1" ht="11.25" x14ac:dyDescent="0.2">
      <c r="A68" s="28" t="s">
        <v>26</v>
      </c>
      <c r="B68" s="196"/>
      <c r="C68" s="196"/>
      <c r="D68" s="196"/>
      <c r="E68" s="196"/>
      <c r="F68" s="196"/>
      <c r="G68" s="29"/>
    </row>
    <row r="69" spans="1:7" s="30" customFormat="1" ht="11.25" x14ac:dyDescent="0.2">
      <c r="A69" s="28" t="s">
        <v>27</v>
      </c>
      <c r="B69" s="196"/>
      <c r="C69" s="196"/>
      <c r="D69" s="196"/>
      <c r="E69" s="196"/>
      <c r="F69" s="196"/>
      <c r="G69" s="29"/>
    </row>
    <row r="70" spans="1:7" s="30" customFormat="1" ht="11.25" x14ac:dyDescent="0.2">
      <c r="A70" s="102" t="s">
        <v>86</v>
      </c>
      <c r="B70" s="196"/>
      <c r="C70" s="196"/>
      <c r="D70" s="196"/>
      <c r="E70" s="196"/>
      <c r="F70" s="196"/>
      <c r="G70" s="29"/>
    </row>
    <row r="71" spans="1:7" s="30" customFormat="1" ht="11.25" x14ac:dyDescent="0.2">
      <c r="A71" s="28" t="s">
        <v>28</v>
      </c>
      <c r="B71" s="196"/>
      <c r="C71" s="196"/>
      <c r="D71" s="196"/>
      <c r="E71" s="196"/>
      <c r="F71" s="196"/>
      <c r="G71" s="29"/>
    </row>
    <row r="72" spans="1:7" s="30" customFormat="1" ht="11.25" x14ac:dyDescent="0.2">
      <c r="A72" s="28" t="s">
        <v>29</v>
      </c>
      <c r="B72" s="196"/>
      <c r="C72" s="196"/>
      <c r="D72" s="196"/>
      <c r="E72" s="196"/>
      <c r="F72" s="196"/>
      <c r="G72" s="29"/>
    </row>
    <row r="73" spans="1:7" s="30" customFormat="1" ht="11.25" x14ac:dyDescent="0.2">
      <c r="A73" s="28" t="s">
        <v>30</v>
      </c>
      <c r="B73" s="196"/>
      <c r="C73" s="196"/>
      <c r="D73" s="196"/>
      <c r="E73" s="196"/>
      <c r="F73" s="196"/>
      <c r="G73" s="29"/>
    </row>
    <row r="74" spans="1:7" s="30" customFormat="1" ht="11.25" x14ac:dyDescent="0.2">
      <c r="A74" s="28" t="s">
        <v>40</v>
      </c>
      <c r="B74" s="196"/>
      <c r="C74" s="196"/>
      <c r="D74" s="196"/>
      <c r="E74" s="196"/>
      <c r="F74" s="196"/>
      <c r="G74" s="29"/>
    </row>
    <row r="75" spans="1:7" s="30" customFormat="1" ht="11.25" x14ac:dyDescent="0.2">
      <c r="A75" s="28" t="s">
        <v>31</v>
      </c>
      <c r="B75" s="196"/>
      <c r="C75" s="196"/>
      <c r="D75" s="196"/>
      <c r="E75" s="196"/>
      <c r="F75" s="196"/>
      <c r="G75" s="29"/>
    </row>
    <row r="76" spans="1:7" s="30" customFormat="1" ht="12" thickBot="1" x14ac:dyDescent="0.25">
      <c r="A76" s="28" t="s">
        <v>32</v>
      </c>
      <c r="B76" s="198"/>
      <c r="C76" s="198"/>
      <c r="D76" s="198"/>
      <c r="E76" s="198"/>
      <c r="F76" s="198"/>
      <c r="G76" s="29"/>
    </row>
    <row r="77" spans="1:7" s="30" customFormat="1" ht="12" thickBot="1" x14ac:dyDescent="0.25">
      <c r="A77" s="35" t="s">
        <v>37</v>
      </c>
      <c r="B77" s="199">
        <f>SUM(B32:B76)</f>
        <v>0</v>
      </c>
      <c r="C77" s="199">
        <f>SUM(C32:C76)</f>
        <v>0</v>
      </c>
      <c r="D77" s="199">
        <f>SUM(D32:D76)</f>
        <v>0</v>
      </c>
      <c r="E77" s="199">
        <f>SUM(E32:E76)</f>
        <v>0</v>
      </c>
      <c r="F77" s="199">
        <f>SUM(F32:F76)</f>
        <v>0</v>
      </c>
      <c r="G77" s="29"/>
    </row>
    <row r="78" spans="1:7" s="30" customFormat="1" ht="6.75" customHeight="1" x14ac:dyDescent="0.2">
      <c r="A78" s="36"/>
      <c r="B78" s="31"/>
      <c r="C78" s="31"/>
      <c r="D78" s="31"/>
      <c r="E78" s="31"/>
      <c r="F78" s="31"/>
      <c r="G78" s="29"/>
    </row>
    <row r="79" spans="1:7" s="30" customFormat="1" ht="13.5" customHeight="1" x14ac:dyDescent="0.2">
      <c r="A79" s="37" t="s">
        <v>54</v>
      </c>
      <c r="B79" s="196">
        <f>B29-B77</f>
        <v>2000</v>
      </c>
      <c r="C79" s="196">
        <f>C29-C77</f>
        <v>2000</v>
      </c>
      <c r="D79" s="196">
        <f>D29-D77</f>
        <v>2000</v>
      </c>
      <c r="E79" s="196">
        <f>E29-E77</f>
        <v>2000</v>
      </c>
      <c r="F79" s="196">
        <f>F29-F77</f>
        <v>2000</v>
      </c>
      <c r="G79" s="29"/>
    </row>
    <row r="80" spans="1:7" s="30" customFormat="1" ht="6.75" customHeight="1" x14ac:dyDescent="0.2">
      <c r="A80" s="36"/>
      <c r="B80" s="196"/>
      <c r="C80" s="196"/>
      <c r="D80" s="196"/>
      <c r="E80" s="196"/>
      <c r="F80" s="196"/>
      <c r="G80" s="29"/>
    </row>
    <row r="81" spans="1:8" s="30" customFormat="1" ht="13.5" customHeight="1" x14ac:dyDescent="0.2">
      <c r="A81" s="37" t="s">
        <v>76</v>
      </c>
      <c r="B81" s="196"/>
      <c r="C81" s="196"/>
      <c r="D81" s="197"/>
      <c r="E81" s="197"/>
      <c r="F81" s="196"/>
      <c r="G81" s="29"/>
    </row>
    <row r="82" spans="1:8" s="30" customFormat="1" ht="13.5" customHeight="1" x14ac:dyDescent="0.2">
      <c r="A82" s="121" t="s">
        <v>187</v>
      </c>
      <c r="B82" s="200"/>
      <c r="C82" s="200"/>
      <c r="D82" s="197"/>
      <c r="E82" s="197"/>
      <c r="F82" s="196"/>
      <c r="G82" s="29"/>
      <c r="H82" s="30" t="s">
        <v>51</v>
      </c>
    </row>
    <row r="83" spans="1:8" s="30" customFormat="1" ht="13.5" customHeight="1" thickBot="1" x14ac:dyDescent="0.25">
      <c r="A83" s="102" t="s">
        <v>186</v>
      </c>
      <c r="B83" s="198"/>
      <c r="C83" s="198"/>
      <c r="D83" s="198"/>
      <c r="E83" s="198"/>
      <c r="F83" s="198"/>
      <c r="G83" s="29"/>
    </row>
    <row r="84" spans="1:8" s="30" customFormat="1" ht="6" customHeight="1" x14ac:dyDescent="0.2">
      <c r="A84" s="36"/>
      <c r="B84" s="200"/>
      <c r="C84" s="200"/>
      <c r="D84" s="196"/>
      <c r="E84" s="196"/>
      <c r="F84" s="196"/>
      <c r="G84" s="29"/>
    </row>
    <row r="85" spans="1:8" s="30" customFormat="1" ht="12" thickBot="1" x14ac:dyDescent="0.25">
      <c r="A85" s="35" t="s">
        <v>41</v>
      </c>
      <c r="B85" s="201">
        <f>SUM(B79:B83)</f>
        <v>2000</v>
      </c>
      <c r="C85" s="201">
        <f>SUM(C79:C83)</f>
        <v>2000</v>
      </c>
      <c r="D85" s="201">
        <f>SUM(D79:D83)</f>
        <v>2000</v>
      </c>
      <c r="E85" s="201">
        <f>SUM(E79:E83)</f>
        <v>2000</v>
      </c>
      <c r="F85" s="201">
        <f>SUM(F79:F83)</f>
        <v>2000</v>
      </c>
      <c r="G85" s="29"/>
    </row>
    <row r="86" spans="1:8" ht="13.5" thickTop="1" x14ac:dyDescent="0.2">
      <c r="A86" s="39"/>
      <c r="B86" s="120"/>
      <c r="C86" s="19"/>
      <c r="D86" s="19"/>
      <c r="E86" s="19"/>
      <c r="F86" s="19"/>
      <c r="G86" s="20"/>
    </row>
    <row r="87" spans="1:8" s="30" customFormat="1" ht="11.25" x14ac:dyDescent="0.2">
      <c r="A87" s="98" t="s">
        <v>58</v>
      </c>
      <c r="B87" s="202"/>
      <c r="C87" s="202">
        <f>B89</f>
        <v>2000</v>
      </c>
      <c r="D87" s="202">
        <f t="shared" ref="D87:F87" si="1">C89</f>
        <v>4000</v>
      </c>
      <c r="E87" s="202">
        <f t="shared" si="1"/>
        <v>6000</v>
      </c>
      <c r="F87" s="202">
        <f t="shared" si="1"/>
        <v>8000</v>
      </c>
      <c r="G87" s="29"/>
    </row>
    <row r="88" spans="1:8" s="30" customFormat="1" ht="3" customHeight="1" x14ac:dyDescent="0.2">
      <c r="A88" s="98"/>
      <c r="B88" s="202"/>
      <c r="C88" s="202"/>
      <c r="D88" s="202"/>
      <c r="E88" s="202"/>
      <c r="F88" s="202"/>
      <c r="G88" s="29"/>
    </row>
    <row r="89" spans="1:8" s="30" customFormat="1" ht="11.25" x14ac:dyDescent="0.2">
      <c r="A89" s="98" t="s">
        <v>59</v>
      </c>
      <c r="B89" s="202">
        <f>B87+B79</f>
        <v>2000</v>
      </c>
      <c r="C89" s="202">
        <f t="shared" ref="C89:F89" si="2">C87+C79</f>
        <v>4000</v>
      </c>
      <c r="D89" s="202">
        <f t="shared" si="2"/>
        <v>6000</v>
      </c>
      <c r="E89" s="202">
        <f t="shared" si="2"/>
        <v>8000</v>
      </c>
      <c r="F89" s="202">
        <f t="shared" si="2"/>
        <v>10000</v>
      </c>
      <c r="G89" s="29"/>
    </row>
    <row r="90" spans="1:8" s="30" customFormat="1" ht="11.25" x14ac:dyDescent="0.2">
      <c r="A90" s="99" t="s">
        <v>183</v>
      </c>
      <c r="B90" s="202">
        <f>0.03*SUM(B14:B20,B27:B28)</f>
        <v>15</v>
      </c>
      <c r="C90" s="202">
        <f>0.03*SUM(C14:C20,C27:C28)</f>
        <v>15</v>
      </c>
      <c r="D90" s="202">
        <f>0.03*SUM(D14:D20,D27:D28)</f>
        <v>15</v>
      </c>
      <c r="E90" s="202">
        <f>0.03*SUM(E14:E20,E27:E28)</f>
        <v>15</v>
      </c>
      <c r="F90" s="202">
        <f>0.03*SUM(F14:F20,F27:F28)</f>
        <v>15</v>
      </c>
      <c r="G90" s="29"/>
    </row>
    <row r="91" spans="1:8" s="30" customFormat="1" ht="11.25" x14ac:dyDescent="0.2">
      <c r="A91" s="99" t="s">
        <v>184</v>
      </c>
      <c r="B91" s="202"/>
      <c r="C91" s="202"/>
      <c r="D91" s="202"/>
      <c r="E91" s="202"/>
      <c r="F91" s="202"/>
      <c r="G91" s="29"/>
    </row>
    <row r="92" spans="1:8" s="30" customFormat="1" ht="11.25" x14ac:dyDescent="0.2">
      <c r="A92" s="99" t="s">
        <v>185</v>
      </c>
      <c r="B92" s="202">
        <v>0</v>
      </c>
      <c r="C92" s="202">
        <f>MAX(90000,__FTE1*0.01*10000)</f>
        <v>90000</v>
      </c>
      <c r="D92" s="202">
        <f>MAX(90000,__FTE1*0.01*10000)</f>
        <v>90000</v>
      </c>
      <c r="E92" s="202">
        <f>MAX(90000,__FTE1*0.01*10000)</f>
        <v>90000</v>
      </c>
      <c r="F92" s="202">
        <f>MAX(90000,__FTE1*0.01*10000)</f>
        <v>90000</v>
      </c>
      <c r="G92" s="29"/>
    </row>
    <row r="93" spans="1:8" s="30" customFormat="1" ht="11.25" x14ac:dyDescent="0.2">
      <c r="A93" s="99" t="s">
        <v>188</v>
      </c>
      <c r="B93" s="202">
        <f>B89-B90-B91-B92</f>
        <v>1985</v>
      </c>
      <c r="C93" s="202">
        <f t="shared" ref="C93:F93" si="3">C89-C90-C91-C92</f>
        <v>-86015</v>
      </c>
      <c r="D93" s="202">
        <f t="shared" si="3"/>
        <v>-84015</v>
      </c>
      <c r="E93" s="202">
        <f t="shared" si="3"/>
        <v>-82015</v>
      </c>
      <c r="F93" s="202">
        <f t="shared" si="3"/>
        <v>-80015</v>
      </c>
      <c r="G93" s="29"/>
    </row>
    <row r="94" spans="1:8" s="30" customFormat="1" ht="12" thickBot="1" x14ac:dyDescent="0.25">
      <c r="A94" s="100" t="s">
        <v>60</v>
      </c>
      <c r="B94" s="203" t="e">
        <f>B93/B77</f>
        <v>#DIV/0!</v>
      </c>
      <c r="C94" s="203" t="e">
        <f t="shared" ref="C94:F94" si="4">C93/C77</f>
        <v>#DIV/0!</v>
      </c>
      <c r="D94" s="203" t="e">
        <f t="shared" si="4"/>
        <v>#DIV/0!</v>
      </c>
      <c r="E94" s="203" t="e">
        <f t="shared" si="4"/>
        <v>#DIV/0!</v>
      </c>
      <c r="F94" s="203" t="e">
        <f t="shared" si="4"/>
        <v>#DIV/0!</v>
      </c>
      <c r="G94" s="50"/>
    </row>
    <row r="95" spans="1:8" s="30" customFormat="1" ht="11.25" x14ac:dyDescent="0.2">
      <c r="A95" s="101"/>
    </row>
    <row r="96" spans="1:8" s="59" customFormat="1" ht="4.5" hidden="1" customHeight="1" thickBot="1" x14ac:dyDescent="0.25">
      <c r="A96" s="135"/>
      <c r="B96" s="136"/>
      <c r="C96" s="136"/>
      <c r="D96" s="136"/>
      <c r="E96" s="136"/>
      <c r="F96" s="136"/>
      <c r="G96" s="137"/>
    </row>
    <row r="97" spans="1:7" s="59" customFormat="1" x14ac:dyDescent="0.2">
      <c r="A97" s="128"/>
    </row>
    <row r="98" spans="1:7" hidden="1" x14ac:dyDescent="0.2">
      <c r="A98" s="128" t="s">
        <v>71</v>
      </c>
      <c r="B98" s="129" t="e">
        <f>('Staffing Forecast'!B60)/('Staffing Forecast'!B60+'Staffing Forecast'!B61)</f>
        <v>#DIV/0!</v>
      </c>
      <c r="C98" s="129" t="e">
        <f>('Staffing Forecast'!C60)/('Staffing Forecast'!C60+'Staffing Forecast'!C61)</f>
        <v>#DIV/0!</v>
      </c>
      <c r="D98" s="129" t="e">
        <f>('Staffing Forecast'!D60)/('Staffing Forecast'!D60+'Staffing Forecast'!D61)</f>
        <v>#DIV/0!</v>
      </c>
      <c r="E98" s="129" t="e">
        <f>('Staffing Forecast'!E60)/('Staffing Forecast'!E60+'Staffing Forecast'!E61)</f>
        <v>#DIV/0!</v>
      </c>
      <c r="F98" s="129" t="e">
        <f>('Staffing Forecast'!F60)/('Staffing Forecast'!F60+'Staffing Forecast'!F61)</f>
        <v>#DIV/0!</v>
      </c>
      <c r="G98" s="59"/>
    </row>
    <row r="99" spans="1:7" hidden="1" x14ac:dyDescent="0.2">
      <c r="A99" s="128"/>
      <c r="B99" s="129" t="e">
        <f>('Staffing Forecast'!B61)/('Staffing Forecast'!B60+'Staffing Forecast'!B61)</f>
        <v>#DIV/0!</v>
      </c>
      <c r="C99" s="129" t="e">
        <f>('Staffing Forecast'!C61)/('Staffing Forecast'!C60+'Staffing Forecast'!C61)</f>
        <v>#DIV/0!</v>
      </c>
      <c r="D99" s="129" t="e">
        <f>('Staffing Forecast'!D61)/('Staffing Forecast'!D60+'Staffing Forecast'!D61)</f>
        <v>#DIV/0!</v>
      </c>
      <c r="E99" s="129" t="e">
        <f>('Staffing Forecast'!E61)/('Staffing Forecast'!E60+'Staffing Forecast'!E61)</f>
        <v>#DIV/0!</v>
      </c>
      <c r="F99" s="129" t="e">
        <f>('Staffing Forecast'!F61)/('Staffing Forecast'!F60+'Staffing Forecast'!F61)</f>
        <v>#DIV/0!</v>
      </c>
      <c r="G99" s="59"/>
    </row>
    <row r="100" spans="1:7" hidden="1" x14ac:dyDescent="0.2">
      <c r="A100" s="128" t="s">
        <v>72</v>
      </c>
      <c r="B100" s="130" t="e">
        <f>B77-(#REF!+#REF!)</f>
        <v>#REF!</v>
      </c>
      <c r="C100" s="130" t="e">
        <f>C77-(#REF!+#REF!)</f>
        <v>#REF!</v>
      </c>
      <c r="D100" s="130" t="e">
        <f>D77-(#REF!+#REF!)</f>
        <v>#REF!</v>
      </c>
      <c r="E100" s="130" t="e">
        <f>E77-(#REF!+#REF!)</f>
        <v>#REF!</v>
      </c>
      <c r="F100" s="130" t="e">
        <f>F77-(#REF!+#REF!)</f>
        <v>#REF!</v>
      </c>
      <c r="G100" s="59"/>
    </row>
    <row r="101" spans="1:7" hidden="1" x14ac:dyDescent="0.2">
      <c r="A101" s="128"/>
      <c r="B101" s="130"/>
      <c r="C101" s="130"/>
      <c r="D101" s="130"/>
      <c r="E101" s="130"/>
      <c r="F101" s="130"/>
      <c r="G101" s="59"/>
    </row>
    <row r="102" spans="1:7" x14ac:dyDescent="0.2">
      <c r="A102" s="60" t="s">
        <v>75</v>
      </c>
      <c r="B102" s="131">
        <f>SUM(B51:B54)+B70</f>
        <v>0</v>
      </c>
      <c r="C102" s="131">
        <f>SUM(C51:C54)+C70</f>
        <v>0</v>
      </c>
      <c r="D102" s="131">
        <f>SUM(D51:D54)+D70</f>
        <v>0</v>
      </c>
      <c r="E102" s="131">
        <f>SUM(E51:E54)+E70</f>
        <v>0</v>
      </c>
      <c r="F102" s="131">
        <f>SUM(F51:F54)+F70</f>
        <v>0</v>
      </c>
      <c r="G102" s="59"/>
    </row>
    <row r="103" spans="1:7" s="110" customFormat="1" x14ac:dyDescent="0.2">
      <c r="A103" s="132" t="s">
        <v>189</v>
      </c>
      <c r="B103" s="133" t="e">
        <f>B102/B27</f>
        <v>#DIV/0!</v>
      </c>
      <c r="C103" s="133" t="e">
        <f>C102/C27</f>
        <v>#DIV/0!</v>
      </c>
      <c r="D103" s="133" t="e">
        <f>D102/D27</f>
        <v>#DIV/0!</v>
      </c>
      <c r="E103" s="133" t="e">
        <f>E102/E27</f>
        <v>#DIV/0!</v>
      </c>
      <c r="F103" s="133" t="e">
        <f>F102/F27</f>
        <v>#DIV/0!</v>
      </c>
      <c r="G103" s="134"/>
    </row>
    <row r="104" spans="1:7" x14ac:dyDescent="0.2">
      <c r="A104" s="60"/>
      <c r="B104" s="59"/>
      <c r="C104" s="59"/>
      <c r="D104" s="59"/>
      <c r="E104" s="59"/>
      <c r="F104" s="59"/>
      <c r="G104" s="59"/>
    </row>
  </sheetData>
  <phoneticPr fontId="2" type="noConversion"/>
  <dataValidations count="2">
    <dataValidation type="custom" allowBlank="1" showInputMessage="1" showErrorMessage="1" errorTitle="Other Uses" error="Other Uses must be negative. Please re-input as a negative number" promptTitle="Other Uses" prompt="Must be a negative number" sqref="B83:F83">
      <formula1>"&lt;0"</formula1>
    </dataValidation>
    <dataValidation type="custom" errorStyle="warning" allowBlank="1" showInputMessage="1" showErrorMessage="1" errorTitle="Unassigned Reserves" error="Unassigned Reserves Must Be Positive. Expenditures and/or revenues must be changed so that the unassigned reserves are positive each year. " promptTitle="Unassigned Reserves" prompt="Unassigned Reserves Must Be Positive" sqref="B93:F93">
      <formula1>"&gt;=0"</formula1>
    </dataValidation>
  </dataValidations>
  <printOptions horizontalCentered="1"/>
  <pageMargins left="0.17" right="0.17" top="0.45" bottom="0.79" header="0.25" footer="0.31"/>
  <pageSetup orientation="portrait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Instructions</vt:lpstr>
      <vt:lpstr>Enrollment Forecast</vt:lpstr>
      <vt:lpstr>Staffing Forecast</vt:lpstr>
      <vt:lpstr>Forecast Assumptions</vt:lpstr>
      <vt:lpstr>5 year forecast</vt:lpstr>
      <vt:lpstr>__FTE1</vt:lpstr>
      <vt:lpstr>__FTE2</vt:lpstr>
      <vt:lpstr>__fTE3</vt:lpstr>
      <vt:lpstr>__FTE4</vt:lpstr>
      <vt:lpstr>'5 year forecast'!Print_Area</vt:lpstr>
      <vt:lpstr>'Staffing Forecast'!Print_Area</vt:lpstr>
      <vt:lpstr>'5 year forecast'!Print_Titles</vt:lpstr>
    </vt:vector>
  </TitlesOfParts>
  <Company>Abstract Insights, LLC.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Deacon</dc:creator>
  <cp:lastModifiedBy>Marks, Ryan</cp:lastModifiedBy>
  <cp:lastPrinted>2014-06-24T22:11:44Z</cp:lastPrinted>
  <dcterms:created xsi:type="dcterms:W3CDTF">2009-05-20T22:46:14Z</dcterms:created>
  <dcterms:modified xsi:type="dcterms:W3CDTF">2019-03-08T15:58:43Z</dcterms:modified>
</cp:coreProperties>
</file>