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rger_a\Documents\"/>
    </mc:Choice>
  </mc:AlternateContent>
  <bookViews>
    <workbookView xWindow="0" yWindow="0" windowWidth="20496" windowHeight="7152" tabRatio="500" firstSheet="1" activeTab="4"/>
  </bookViews>
  <sheets>
    <sheet name="Instructions" sheetId="1" r:id="rId1"/>
    <sheet name="Cover Page" sheetId="2" r:id="rId2"/>
    <sheet name="Page 1-Enrollment Plan" sheetId="3" r:id="rId3"/>
    <sheet name="Page 2-Staffing Plan" sheetId="4" r:id="rId4"/>
    <sheet name="Page 3-Assumptions" sheetId="5" r:id="rId5"/>
    <sheet name="Page 4-Year 0" sheetId="6" r:id="rId6"/>
    <sheet name="Page 5-Year 1" sheetId="7" r:id="rId7"/>
    <sheet name="Page 6-Year 2" sheetId="8" r:id="rId8"/>
    <sheet name="Page 7-Year 3" sheetId="9" r:id="rId9"/>
    <sheet name="Page 8-Year 4" sheetId="10" r:id="rId10"/>
    <sheet name="Page 9-Year 5" sheetId="11" r:id="rId11"/>
    <sheet name="Page 10-6 yr Budget-detail" sheetId="12" r:id="rId12"/>
    <sheet name="Page 11-6 yr Budget Summary" sheetId="13" r:id="rId13"/>
    <sheet name="Support-CDE start-up grant" sheetId="14" r:id="rId14"/>
  </sheets>
  <definedNames>
    <definedName name="__FTE1">'Page 10-6 yr Budget-detail'!$C$6</definedName>
    <definedName name="__FTE2">'Page 10-6 yr Budget-detail'!$D$6</definedName>
    <definedName name="__fTE3">'Page 10-6 yr Budget-detail'!$E$6</definedName>
    <definedName name="__FTE4">'Page 10-6 yr Budget-detail'!$F$6</definedName>
    <definedName name="_FTE1" localSheetId="12">'Page 11-6 yr Budget Summary'!$C$5</definedName>
    <definedName name="_FTE2" localSheetId="12">'Page 11-6 yr Budget Summary'!$D$5</definedName>
    <definedName name="_fTE3" localSheetId="12">'Page 11-6 yr Budget Summary'!$E$5</definedName>
    <definedName name="_FTE4" localSheetId="12">'Page 11-6 yr Budget Summary'!$F$5</definedName>
    <definedName name="FPC" localSheetId="6">'Page 5-Year 1'!$E$3</definedName>
    <definedName name="FPC" localSheetId="7">'Page 6-Year 2'!$E$3</definedName>
    <definedName name="FPC" localSheetId="8">'Page 7-Year 3'!$E$3</definedName>
    <definedName name="FPC" localSheetId="9">'Page 8-Year 4'!$E$3</definedName>
    <definedName name="FPC" localSheetId="10">'Page 9-Year 5'!$E$3</definedName>
    <definedName name="FPC">'Page 4-Year 0'!$E$3</definedName>
  </definedNames>
  <calcPr calcId="152511" iterateDelta="1E-4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2" i="12" l="1"/>
  <c r="C22" i="12"/>
  <c r="D22" i="12"/>
  <c r="E22" i="12"/>
  <c r="F22" i="12"/>
  <c r="G22" i="12"/>
  <c r="B22" i="11"/>
  <c r="B22" i="10"/>
  <c r="B22" i="9"/>
  <c r="B22" i="8"/>
  <c r="B22" i="7"/>
  <c r="B22" i="6"/>
  <c r="G10" i="13"/>
  <c r="F10" i="13"/>
  <c r="E10" i="13"/>
  <c r="D10" i="13"/>
  <c r="C10" i="13"/>
  <c r="B10" i="13"/>
  <c r="C22" i="3"/>
  <c r="D18" i="5"/>
  <c r="D22" i="3"/>
  <c r="E18" i="5"/>
  <c r="F18" i="5"/>
  <c r="G18" i="5"/>
  <c r="B22" i="3"/>
  <c r="C18" i="5"/>
  <c r="C20" i="3"/>
  <c r="B74" i="8"/>
  <c r="B35" i="8"/>
  <c r="E35" i="8"/>
  <c r="B34" i="8"/>
  <c r="E34" i="8"/>
  <c r="B57" i="8"/>
  <c r="B35" i="7"/>
  <c r="E35" i="7"/>
  <c r="B34" i="7"/>
  <c r="E34" i="7"/>
  <c r="B56" i="7"/>
  <c r="D28" i="8"/>
  <c r="D28" i="7"/>
  <c r="D28" i="6"/>
  <c r="C35" i="14"/>
  <c r="D35" i="14"/>
  <c r="B35" i="14"/>
  <c r="C24" i="5"/>
  <c r="C22" i="5"/>
  <c r="C26" i="7"/>
  <c r="E26" i="7"/>
  <c r="G24" i="5"/>
  <c r="G22" i="5"/>
  <c r="C26" i="11"/>
  <c r="E26" i="11"/>
  <c r="E27" i="11"/>
  <c r="E24" i="5"/>
  <c r="E22" i="5"/>
  <c r="C26" i="9"/>
  <c r="E26" i="9"/>
  <c r="F24" i="5"/>
  <c r="F22" i="5"/>
  <c r="C26" i="10"/>
  <c r="E26" i="10"/>
  <c r="E13" i="5"/>
  <c r="F21" i="5"/>
  <c r="C25" i="10"/>
  <c r="C26" i="6"/>
  <c r="E26" i="6"/>
  <c r="B26" i="12"/>
  <c r="C26" i="12"/>
  <c r="D24" i="5"/>
  <c r="D22" i="5"/>
  <c r="C26" i="8"/>
  <c r="E26" i="8"/>
  <c r="D26" i="12"/>
  <c r="E26" i="12"/>
  <c r="F26" i="12"/>
  <c r="G26" i="12"/>
  <c r="C13" i="5"/>
  <c r="D21" i="5"/>
  <c r="C25" i="8"/>
  <c r="C19" i="5"/>
  <c r="D19" i="5"/>
  <c r="E19" i="5"/>
  <c r="F19" i="5"/>
  <c r="G19" i="5"/>
  <c r="C10" i="5"/>
  <c r="C9" i="5"/>
  <c r="D33" i="14"/>
  <c r="C33" i="14"/>
  <c r="B33" i="14"/>
  <c r="E8" i="11"/>
  <c r="E9" i="11"/>
  <c r="G26" i="5"/>
  <c r="B10" i="11"/>
  <c r="E10" i="11"/>
  <c r="E11" i="11"/>
  <c r="E12" i="11"/>
  <c r="F20" i="3"/>
  <c r="B74" i="11"/>
  <c r="B13" i="11"/>
  <c r="E13" i="11"/>
  <c r="E5" i="11"/>
  <c r="B14" i="11"/>
  <c r="E14" i="11"/>
  <c r="E15" i="11"/>
  <c r="F22" i="3"/>
  <c r="E6" i="11"/>
  <c r="C8" i="5"/>
  <c r="D8" i="5"/>
  <c r="E8" i="5"/>
  <c r="F8" i="5"/>
  <c r="G8" i="5"/>
  <c r="B16" i="11"/>
  <c r="E16" i="11"/>
  <c r="E22" i="3"/>
  <c r="F10" i="5"/>
  <c r="G9" i="5"/>
  <c r="B17" i="11"/>
  <c r="E17" i="11"/>
  <c r="F13" i="5"/>
  <c r="G11" i="5"/>
  <c r="C18" i="11"/>
  <c r="E18" i="11"/>
  <c r="G15" i="5"/>
  <c r="G14" i="5"/>
  <c r="B19" i="11"/>
  <c r="E19" i="11"/>
  <c r="E20" i="11"/>
  <c r="F17" i="5"/>
  <c r="G16" i="5"/>
  <c r="B21" i="11"/>
  <c r="E21" i="11"/>
  <c r="C23" i="11"/>
  <c r="E23" i="11"/>
  <c r="G20" i="5"/>
  <c r="C24" i="11"/>
  <c r="E24" i="11"/>
  <c r="G21" i="5"/>
  <c r="C25" i="11"/>
  <c r="E25" i="11"/>
  <c r="E28" i="11"/>
  <c r="C5" i="5"/>
  <c r="D5" i="5"/>
  <c r="E5" i="5"/>
  <c r="F5" i="5"/>
  <c r="G5" i="5"/>
  <c r="B29" i="11"/>
  <c r="E29" i="11"/>
  <c r="G6" i="5"/>
  <c r="B30" i="11"/>
  <c r="E30" i="11"/>
  <c r="E31" i="11"/>
  <c r="G32" i="4"/>
  <c r="B34" i="11"/>
  <c r="E34" i="11"/>
  <c r="G15" i="4"/>
  <c r="B35" i="11"/>
  <c r="E35" i="11"/>
  <c r="B36" i="11"/>
  <c r="E36" i="11"/>
  <c r="E37" i="11"/>
  <c r="D32" i="5"/>
  <c r="E32" i="5"/>
  <c r="F32" i="5"/>
  <c r="G32" i="5"/>
  <c r="B38" i="11"/>
  <c r="E38" i="11"/>
  <c r="G35" i="4"/>
  <c r="G30" i="4"/>
  <c r="G36" i="4"/>
  <c r="G37" i="4"/>
  <c r="B39" i="11"/>
  <c r="E39" i="11"/>
  <c r="B40" i="11"/>
  <c r="E40" i="11"/>
  <c r="B41" i="11"/>
  <c r="E41" i="11"/>
  <c r="E42" i="11"/>
  <c r="B43" i="11"/>
  <c r="E43" i="11"/>
  <c r="G68" i="5"/>
  <c r="B44" i="11"/>
  <c r="E44" i="11"/>
  <c r="B45" i="11"/>
  <c r="E45" i="11"/>
  <c r="B46" i="10"/>
  <c r="B46" i="11"/>
  <c r="E46" i="11"/>
  <c r="D47" i="8"/>
  <c r="B47" i="9"/>
  <c r="B47" i="10"/>
  <c r="B47" i="11"/>
  <c r="E47" i="11"/>
  <c r="C48" i="11"/>
  <c r="E48" i="11"/>
  <c r="D49" i="8"/>
  <c r="B49" i="9"/>
  <c r="B49" i="10"/>
  <c r="B49" i="11"/>
  <c r="E49" i="11"/>
  <c r="B50" i="8"/>
  <c r="B50" i="9"/>
  <c r="B50" i="10"/>
  <c r="B50" i="11"/>
  <c r="E50" i="11"/>
  <c r="B51" i="8"/>
  <c r="B51" i="9"/>
  <c r="B51" i="10"/>
  <c r="B51" i="11"/>
  <c r="E51" i="11"/>
  <c r="B52" i="8"/>
  <c r="B52" i="9"/>
  <c r="B52" i="10"/>
  <c r="B52" i="11"/>
  <c r="E52" i="11"/>
  <c r="B53" i="11"/>
  <c r="E53" i="11"/>
  <c r="B54" i="11"/>
  <c r="E54" i="11"/>
  <c r="G36" i="5"/>
  <c r="B55" i="11"/>
  <c r="E55" i="11"/>
  <c r="B56" i="11"/>
  <c r="E56" i="11"/>
  <c r="B57" i="11"/>
  <c r="E57" i="11"/>
  <c r="B58" i="8"/>
  <c r="B58" i="9"/>
  <c r="B58" i="10"/>
  <c r="B58" i="11"/>
  <c r="E58" i="11"/>
  <c r="B59" i="11"/>
  <c r="E59" i="11"/>
  <c r="B60" i="11"/>
  <c r="E60" i="11"/>
  <c r="B61" i="11"/>
  <c r="E61" i="11"/>
  <c r="B62" i="11"/>
  <c r="E62" i="11"/>
  <c r="B63" i="11"/>
  <c r="E63" i="11"/>
  <c r="B64" i="11"/>
  <c r="E64" i="11"/>
  <c r="B65" i="11"/>
  <c r="E65" i="11"/>
  <c r="B66" i="11"/>
  <c r="E66" i="11"/>
  <c r="D67" i="8"/>
  <c r="B67" i="9"/>
  <c r="B67" i="10"/>
  <c r="B67" i="11"/>
  <c r="E67" i="11"/>
  <c r="B68" i="8"/>
  <c r="B68" i="9"/>
  <c r="B68" i="10"/>
  <c r="B68" i="11"/>
  <c r="E68" i="11"/>
  <c r="B69" i="8"/>
  <c r="B69" i="9"/>
  <c r="B69" i="10"/>
  <c r="B69" i="11"/>
  <c r="E69" i="11"/>
  <c r="B70" i="10"/>
  <c r="B70" i="11"/>
  <c r="E70" i="11"/>
  <c r="B71" i="10"/>
  <c r="B71" i="11"/>
  <c r="E71" i="11"/>
  <c r="B72" i="11"/>
  <c r="E72" i="11"/>
  <c r="E73" i="11"/>
  <c r="E74" i="11"/>
  <c r="E75" i="11"/>
  <c r="E76" i="11"/>
  <c r="E78" i="11"/>
  <c r="E81" i="11"/>
  <c r="E8" i="10"/>
  <c r="E9" i="10"/>
  <c r="F26" i="5"/>
  <c r="B10" i="10"/>
  <c r="E10" i="10"/>
  <c r="E11" i="10"/>
  <c r="E12" i="10"/>
  <c r="E20" i="3"/>
  <c r="B74" i="10"/>
  <c r="B13" i="10"/>
  <c r="E13" i="10"/>
  <c r="E5" i="10"/>
  <c r="B14" i="10"/>
  <c r="E14" i="10"/>
  <c r="E15" i="10"/>
  <c r="E6" i="10"/>
  <c r="B16" i="10"/>
  <c r="E16" i="10"/>
  <c r="E10" i="5"/>
  <c r="F9" i="5"/>
  <c r="B17" i="10"/>
  <c r="E17" i="10"/>
  <c r="F11" i="5"/>
  <c r="C18" i="10"/>
  <c r="E18" i="10"/>
  <c r="F15" i="5"/>
  <c r="F14" i="5"/>
  <c r="B19" i="10"/>
  <c r="E19" i="10"/>
  <c r="E20" i="10"/>
  <c r="E17" i="5"/>
  <c r="F16" i="5"/>
  <c r="B21" i="10"/>
  <c r="E21" i="10"/>
  <c r="C23" i="10"/>
  <c r="E23" i="10"/>
  <c r="F20" i="5"/>
  <c r="C24" i="10"/>
  <c r="E24" i="10"/>
  <c r="E25" i="10"/>
  <c r="E27" i="10"/>
  <c r="E28" i="10"/>
  <c r="B29" i="10"/>
  <c r="E29" i="10"/>
  <c r="F6" i="5"/>
  <c r="B30" i="10"/>
  <c r="E30" i="10"/>
  <c r="E31" i="10"/>
  <c r="F32" i="4"/>
  <c r="B34" i="10"/>
  <c r="E34" i="10"/>
  <c r="F15" i="4"/>
  <c r="B35" i="10"/>
  <c r="E35" i="10"/>
  <c r="B36" i="10"/>
  <c r="E36" i="10"/>
  <c r="E37" i="10"/>
  <c r="B38" i="10"/>
  <c r="E38" i="10"/>
  <c r="F35" i="4"/>
  <c r="F30" i="4"/>
  <c r="F36" i="4"/>
  <c r="F37" i="4"/>
  <c r="B39" i="10"/>
  <c r="E39" i="10"/>
  <c r="B40" i="10"/>
  <c r="E40" i="10"/>
  <c r="B41" i="10"/>
  <c r="E41" i="10"/>
  <c r="E42" i="10"/>
  <c r="B43" i="10"/>
  <c r="E43" i="10"/>
  <c r="F68" i="5"/>
  <c r="B44" i="10"/>
  <c r="E44" i="10"/>
  <c r="B45" i="10"/>
  <c r="E45" i="10"/>
  <c r="E46" i="10"/>
  <c r="E47" i="10"/>
  <c r="C48" i="10"/>
  <c r="E48" i="10"/>
  <c r="E49" i="10"/>
  <c r="E50" i="10"/>
  <c r="E51" i="10"/>
  <c r="E52" i="10"/>
  <c r="B53" i="10"/>
  <c r="E53" i="10"/>
  <c r="B54" i="10"/>
  <c r="E54" i="10"/>
  <c r="F36" i="5"/>
  <c r="B55" i="10"/>
  <c r="E55" i="10"/>
  <c r="B56" i="10"/>
  <c r="E56" i="10"/>
  <c r="B57" i="10"/>
  <c r="E57" i="10"/>
  <c r="E58" i="10"/>
  <c r="B59" i="10"/>
  <c r="E59" i="10"/>
  <c r="B60" i="10"/>
  <c r="E60" i="10"/>
  <c r="B61" i="10"/>
  <c r="E61" i="10"/>
  <c r="B62" i="10"/>
  <c r="E62" i="10"/>
  <c r="B63" i="10"/>
  <c r="E63" i="10"/>
  <c r="B64" i="10"/>
  <c r="E64" i="10"/>
  <c r="B65" i="10"/>
  <c r="E65" i="10"/>
  <c r="B66" i="10"/>
  <c r="E66" i="10"/>
  <c r="E67" i="10"/>
  <c r="E68" i="10"/>
  <c r="E69" i="10"/>
  <c r="E70" i="10"/>
  <c r="E71" i="10"/>
  <c r="B72" i="10"/>
  <c r="E72" i="10"/>
  <c r="E73" i="10"/>
  <c r="E74" i="10"/>
  <c r="E75" i="10"/>
  <c r="E76" i="10"/>
  <c r="E78" i="10"/>
  <c r="E81" i="10"/>
  <c r="E8" i="9"/>
  <c r="E9" i="9"/>
  <c r="E26" i="5"/>
  <c r="B10" i="9"/>
  <c r="E10" i="9"/>
  <c r="E11" i="9"/>
  <c r="E12" i="9"/>
  <c r="D20" i="3"/>
  <c r="B74" i="9"/>
  <c r="B13" i="9"/>
  <c r="E13" i="9"/>
  <c r="E5" i="9"/>
  <c r="B14" i="9"/>
  <c r="E14" i="9"/>
  <c r="E15" i="9"/>
  <c r="E6" i="9"/>
  <c r="B16" i="9"/>
  <c r="E16" i="9"/>
  <c r="D10" i="5"/>
  <c r="E9" i="5"/>
  <c r="B17" i="9"/>
  <c r="E17" i="9"/>
  <c r="D13" i="5"/>
  <c r="E11" i="5"/>
  <c r="C18" i="9"/>
  <c r="E18" i="9"/>
  <c r="E15" i="5"/>
  <c r="E14" i="5"/>
  <c r="B19" i="9"/>
  <c r="E19" i="9"/>
  <c r="E20" i="9"/>
  <c r="D17" i="5"/>
  <c r="E16" i="5"/>
  <c r="B21" i="9"/>
  <c r="E21" i="9"/>
  <c r="C23" i="9"/>
  <c r="E23" i="9"/>
  <c r="E20" i="5"/>
  <c r="C24" i="9"/>
  <c r="E24" i="9"/>
  <c r="E21" i="5"/>
  <c r="C25" i="9"/>
  <c r="E25" i="9"/>
  <c r="E27" i="9"/>
  <c r="E28" i="9"/>
  <c r="B29" i="9"/>
  <c r="E29" i="9"/>
  <c r="E6" i="5"/>
  <c r="B30" i="9"/>
  <c r="E30" i="9"/>
  <c r="E31" i="9"/>
  <c r="E32" i="4"/>
  <c r="B34" i="9"/>
  <c r="E34" i="9"/>
  <c r="E15" i="4"/>
  <c r="B35" i="9"/>
  <c r="E35" i="9"/>
  <c r="B36" i="9"/>
  <c r="E36" i="9"/>
  <c r="B37" i="8"/>
  <c r="B37" i="9"/>
  <c r="E37" i="9"/>
  <c r="B38" i="9"/>
  <c r="E38" i="9"/>
  <c r="E35" i="4"/>
  <c r="E30" i="4"/>
  <c r="E36" i="4"/>
  <c r="E37" i="4"/>
  <c r="B39" i="9"/>
  <c r="E39" i="9"/>
  <c r="B40" i="9"/>
  <c r="E40" i="9"/>
  <c r="C15" i="4"/>
  <c r="C35" i="4"/>
  <c r="C30" i="4"/>
  <c r="C36" i="4"/>
  <c r="C37" i="4"/>
  <c r="B41" i="7"/>
  <c r="B41" i="8"/>
  <c r="B41" i="9"/>
  <c r="E41" i="9"/>
  <c r="B42" i="8"/>
  <c r="B42" i="9"/>
  <c r="E42" i="9"/>
  <c r="B43" i="9"/>
  <c r="E43" i="9"/>
  <c r="E68" i="5"/>
  <c r="B44" i="9"/>
  <c r="E44" i="9"/>
  <c r="B45" i="9"/>
  <c r="E45" i="9"/>
  <c r="E46" i="9"/>
  <c r="E47" i="9"/>
  <c r="C48" i="9"/>
  <c r="E48" i="9"/>
  <c r="E49" i="9"/>
  <c r="E50" i="9"/>
  <c r="E51" i="9"/>
  <c r="E52" i="9"/>
  <c r="B53" i="9"/>
  <c r="E53" i="9"/>
  <c r="B54" i="9"/>
  <c r="E54" i="9"/>
  <c r="E36" i="5"/>
  <c r="B55" i="9"/>
  <c r="E55" i="9"/>
  <c r="B56" i="9"/>
  <c r="E56" i="9"/>
  <c r="B57" i="9"/>
  <c r="E57" i="9"/>
  <c r="E58" i="9"/>
  <c r="B59" i="9"/>
  <c r="E59" i="9"/>
  <c r="B60" i="9"/>
  <c r="E60" i="9"/>
  <c r="B61" i="9"/>
  <c r="E61" i="9"/>
  <c r="B62" i="9"/>
  <c r="E62" i="9"/>
  <c r="B63" i="9"/>
  <c r="E63" i="9"/>
  <c r="B64" i="9"/>
  <c r="E64" i="9"/>
  <c r="B65" i="9"/>
  <c r="E65" i="9"/>
  <c r="B66" i="9"/>
  <c r="E66" i="9"/>
  <c r="E67" i="9"/>
  <c r="E68" i="9"/>
  <c r="E69" i="9"/>
  <c r="E70" i="9"/>
  <c r="E71" i="9"/>
  <c r="B72" i="9"/>
  <c r="E72" i="9"/>
  <c r="E73" i="9"/>
  <c r="E74" i="9"/>
  <c r="E75" i="9"/>
  <c r="E76" i="9"/>
  <c r="E78" i="9"/>
  <c r="E81" i="9"/>
  <c r="E8" i="8"/>
  <c r="E9" i="8"/>
  <c r="D26" i="5"/>
  <c r="B10" i="8"/>
  <c r="E10" i="8"/>
  <c r="E11" i="8"/>
  <c r="E12" i="8"/>
  <c r="B13" i="8"/>
  <c r="E13" i="8"/>
  <c r="E5" i="8"/>
  <c r="B14" i="8"/>
  <c r="E14" i="8"/>
  <c r="E15" i="8"/>
  <c r="E6" i="8"/>
  <c r="B16" i="8"/>
  <c r="E16" i="8"/>
  <c r="D9" i="5"/>
  <c r="B17" i="8"/>
  <c r="E17" i="8"/>
  <c r="D11" i="5"/>
  <c r="C18" i="8"/>
  <c r="E18" i="8"/>
  <c r="D15" i="5"/>
  <c r="D14" i="5"/>
  <c r="B19" i="8"/>
  <c r="E19" i="8"/>
  <c r="E20" i="8"/>
  <c r="C17" i="5"/>
  <c r="D16" i="5"/>
  <c r="B21" i="8"/>
  <c r="E21" i="8"/>
  <c r="C23" i="8"/>
  <c r="E23" i="8"/>
  <c r="D20" i="5"/>
  <c r="C24" i="8"/>
  <c r="E24" i="8"/>
  <c r="E25" i="8"/>
  <c r="E27" i="8"/>
  <c r="E28" i="8"/>
  <c r="B29" i="8"/>
  <c r="E29" i="8"/>
  <c r="D6" i="5"/>
  <c r="B30" i="8"/>
  <c r="E30" i="8"/>
  <c r="E31" i="8"/>
  <c r="D32" i="4"/>
  <c r="D15" i="4"/>
  <c r="B36" i="8"/>
  <c r="E36" i="8"/>
  <c r="E37" i="8"/>
  <c r="B38" i="8"/>
  <c r="E38" i="8"/>
  <c r="D35" i="4"/>
  <c r="D30" i="4"/>
  <c r="D36" i="4"/>
  <c r="D37" i="4"/>
  <c r="B39" i="8"/>
  <c r="E39" i="8"/>
  <c r="B40" i="8"/>
  <c r="E40" i="8"/>
  <c r="E41" i="8"/>
  <c r="E42" i="8"/>
  <c r="B43" i="8"/>
  <c r="E43" i="8"/>
  <c r="B44" i="8"/>
  <c r="E44" i="8"/>
  <c r="B45" i="8"/>
  <c r="E45" i="8"/>
  <c r="B46" i="7"/>
  <c r="B46" i="8"/>
  <c r="D46" i="8"/>
  <c r="E46" i="8"/>
  <c r="E47" i="8"/>
  <c r="C48" i="8"/>
  <c r="E48" i="8"/>
  <c r="B49" i="7"/>
  <c r="B49" i="8"/>
  <c r="E49" i="8"/>
  <c r="E50" i="8"/>
  <c r="E51" i="8"/>
  <c r="E52" i="8"/>
  <c r="B53" i="8"/>
  <c r="E53" i="8"/>
  <c r="B54" i="8"/>
  <c r="E54" i="8"/>
  <c r="D36" i="5"/>
  <c r="B55" i="8"/>
  <c r="E55" i="8"/>
  <c r="B56" i="8"/>
  <c r="E56" i="8"/>
  <c r="E57" i="8"/>
  <c r="E58" i="8"/>
  <c r="B59" i="8"/>
  <c r="E59" i="8"/>
  <c r="B60" i="8"/>
  <c r="D60" i="8"/>
  <c r="E60" i="8"/>
  <c r="B61" i="8"/>
  <c r="D61" i="8"/>
  <c r="E61" i="8"/>
  <c r="B62" i="8"/>
  <c r="E62" i="8"/>
  <c r="B63" i="8"/>
  <c r="E63" i="8"/>
  <c r="B64" i="8"/>
  <c r="E64" i="8"/>
  <c r="B65" i="8"/>
  <c r="E65" i="8"/>
  <c r="B66" i="8"/>
  <c r="E66" i="8"/>
  <c r="E67" i="8"/>
  <c r="E68" i="8"/>
  <c r="E69" i="8"/>
  <c r="B70" i="7"/>
  <c r="B70" i="8"/>
  <c r="D70" i="8"/>
  <c r="E70" i="8"/>
  <c r="B71" i="7"/>
  <c r="B71" i="8"/>
  <c r="D71" i="8"/>
  <c r="E71" i="8"/>
  <c r="B72" i="8"/>
  <c r="E72" i="8"/>
  <c r="E73" i="8"/>
  <c r="E74" i="8"/>
  <c r="E75" i="8"/>
  <c r="E76" i="8"/>
  <c r="E78" i="8"/>
  <c r="E81" i="8"/>
  <c r="C26" i="5"/>
  <c r="B10" i="7"/>
  <c r="B20" i="3"/>
  <c r="B74" i="7"/>
  <c r="B13" i="7"/>
  <c r="E5" i="7"/>
  <c r="B14" i="7"/>
  <c r="E6" i="7"/>
  <c r="B16" i="7"/>
  <c r="B17" i="7"/>
  <c r="C14" i="5"/>
  <c r="B19" i="7"/>
  <c r="B21" i="7"/>
  <c r="B23" i="7"/>
  <c r="C20" i="5"/>
  <c r="B24" i="7"/>
  <c r="B25" i="7"/>
  <c r="B29" i="7"/>
  <c r="C6" i="5"/>
  <c r="B30" i="7"/>
  <c r="B31" i="7"/>
  <c r="C32" i="4"/>
  <c r="C36" i="7"/>
  <c r="B36" i="7"/>
  <c r="B38" i="7"/>
  <c r="B39" i="7"/>
  <c r="B40" i="7"/>
  <c r="B43" i="7"/>
  <c r="B45" i="7"/>
  <c r="B53" i="7"/>
  <c r="B54" i="7"/>
  <c r="C36" i="5"/>
  <c r="B55" i="7"/>
  <c r="B57" i="7"/>
  <c r="B59" i="7"/>
  <c r="B60" i="7"/>
  <c r="B61" i="7"/>
  <c r="E29" i="7"/>
  <c r="B62" i="7"/>
  <c r="B63" i="7"/>
  <c r="B64" i="7"/>
  <c r="B65" i="7"/>
  <c r="B66" i="7"/>
  <c r="B72" i="7"/>
  <c r="B76" i="7"/>
  <c r="B78" i="7"/>
  <c r="C18" i="7"/>
  <c r="C23" i="7"/>
  <c r="C24" i="7"/>
  <c r="C25" i="7"/>
  <c r="C31" i="7"/>
  <c r="C48" i="7"/>
  <c r="C76" i="7"/>
  <c r="C78" i="7"/>
  <c r="D31" i="7"/>
  <c r="D46" i="7"/>
  <c r="D47" i="7"/>
  <c r="D49" i="7"/>
  <c r="D60" i="7"/>
  <c r="D61" i="7"/>
  <c r="D67" i="7"/>
  <c r="D70" i="7"/>
  <c r="D71" i="7"/>
  <c r="D76" i="7"/>
  <c r="D78" i="7"/>
  <c r="E78" i="7"/>
  <c r="E81" i="7"/>
  <c r="E8" i="6"/>
  <c r="B9" i="6"/>
  <c r="E9" i="6"/>
  <c r="B10" i="6"/>
  <c r="E10" i="6"/>
  <c r="E11" i="6"/>
  <c r="E12" i="6"/>
  <c r="E13" i="6"/>
  <c r="E14" i="6"/>
  <c r="E15" i="6"/>
  <c r="B16" i="6"/>
  <c r="E16" i="6"/>
  <c r="B17" i="6"/>
  <c r="E17" i="6"/>
  <c r="C18" i="6"/>
  <c r="E18" i="6"/>
  <c r="B19" i="6"/>
  <c r="E19" i="6"/>
  <c r="E20" i="6"/>
  <c r="C23" i="6"/>
  <c r="E23" i="6"/>
  <c r="C24" i="6"/>
  <c r="E24" i="6"/>
  <c r="C25" i="6"/>
  <c r="E25" i="6"/>
  <c r="E27" i="6"/>
  <c r="E28" i="6"/>
  <c r="B29" i="6"/>
  <c r="E29" i="6"/>
  <c r="B30" i="6"/>
  <c r="D30" i="6"/>
  <c r="E30" i="6"/>
  <c r="E31" i="6"/>
  <c r="B32" i="4"/>
  <c r="D34" i="6"/>
  <c r="B34" i="6"/>
  <c r="E34" i="6"/>
  <c r="E35" i="6"/>
  <c r="B36" i="6"/>
  <c r="D36" i="6"/>
  <c r="E36" i="6"/>
  <c r="B37" i="6"/>
  <c r="D37" i="6"/>
  <c r="E37" i="6"/>
  <c r="E38" i="6"/>
  <c r="B39" i="6"/>
  <c r="E39" i="6"/>
  <c r="B40" i="6"/>
  <c r="E40" i="6"/>
  <c r="B41" i="6"/>
  <c r="E41" i="6"/>
  <c r="E42" i="6"/>
  <c r="E43" i="6"/>
  <c r="B68" i="5"/>
  <c r="B44" i="6"/>
  <c r="E44" i="6"/>
  <c r="E45" i="6"/>
  <c r="D46" i="6"/>
  <c r="E46" i="6"/>
  <c r="D47" i="6"/>
  <c r="E47" i="6"/>
  <c r="E48" i="6"/>
  <c r="D49" i="6"/>
  <c r="E49" i="6"/>
  <c r="E50" i="6"/>
  <c r="E51" i="6"/>
  <c r="E52" i="6"/>
  <c r="E53" i="6"/>
  <c r="E54" i="6"/>
  <c r="B55" i="6"/>
  <c r="E55" i="6"/>
  <c r="B56" i="6"/>
  <c r="D56" i="6"/>
  <c r="E56" i="6"/>
  <c r="E57" i="6"/>
  <c r="E58" i="6"/>
  <c r="E59" i="6"/>
  <c r="E60" i="6"/>
  <c r="D61" i="6"/>
  <c r="E61" i="6"/>
  <c r="E62" i="6"/>
  <c r="E63" i="6"/>
  <c r="E64" i="6"/>
  <c r="E65" i="6"/>
  <c r="E66" i="6"/>
  <c r="D67" i="6"/>
  <c r="E67" i="6"/>
  <c r="E68" i="6"/>
  <c r="E69" i="6"/>
  <c r="D70" i="6"/>
  <c r="E70" i="6"/>
  <c r="D71" i="6"/>
  <c r="E71" i="6"/>
  <c r="E72" i="6"/>
  <c r="E73" i="6"/>
  <c r="E74" i="6"/>
  <c r="E75" i="6"/>
  <c r="E76" i="6"/>
  <c r="E78" i="6"/>
  <c r="E83" i="6"/>
  <c r="E87" i="6"/>
  <c r="E85" i="7"/>
  <c r="E86" i="7"/>
  <c r="E85" i="8"/>
  <c r="E86" i="8"/>
  <c r="E85" i="9"/>
  <c r="E86" i="9"/>
  <c r="E85" i="10"/>
  <c r="E86" i="10"/>
  <c r="E85" i="11"/>
  <c r="E86" i="11"/>
  <c r="B82" i="7"/>
  <c r="E82" i="7"/>
  <c r="E87" i="7"/>
  <c r="B31" i="8"/>
  <c r="B82" i="8"/>
  <c r="E82" i="8"/>
  <c r="E87" i="8"/>
  <c r="B31" i="9"/>
  <c r="B82" i="9"/>
  <c r="E82" i="9"/>
  <c r="E87" i="9"/>
  <c r="B31" i="10"/>
  <c r="B82" i="10"/>
  <c r="E82" i="10"/>
  <c r="E87" i="10"/>
  <c r="B31" i="11"/>
  <c r="B82" i="11"/>
  <c r="E82" i="11"/>
  <c r="E87" i="11"/>
  <c r="E88" i="11"/>
  <c r="E89" i="11"/>
  <c r="G91" i="12"/>
  <c r="G44" i="13"/>
  <c r="E88" i="10"/>
  <c r="E89" i="10"/>
  <c r="F91" i="12"/>
  <c r="F44" i="13"/>
  <c r="E88" i="9"/>
  <c r="E89" i="9"/>
  <c r="E91" i="12"/>
  <c r="E44" i="13"/>
  <c r="E88" i="8"/>
  <c r="E89" i="8"/>
  <c r="D91" i="12"/>
  <c r="D44" i="13"/>
  <c r="E88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89" i="7"/>
  <c r="C91" i="12"/>
  <c r="C44" i="13"/>
  <c r="E88" i="6"/>
  <c r="E89" i="6"/>
  <c r="E90" i="6"/>
  <c r="B91" i="12"/>
  <c r="B44" i="13"/>
  <c r="G90" i="12"/>
  <c r="G43" i="13"/>
  <c r="F90" i="12"/>
  <c r="F43" i="13"/>
  <c r="E90" i="12"/>
  <c r="E43" i="13"/>
  <c r="D90" i="12"/>
  <c r="D43" i="13"/>
  <c r="C90" i="12"/>
  <c r="C43" i="13"/>
  <c r="B90" i="12"/>
  <c r="B43" i="13"/>
  <c r="G89" i="12"/>
  <c r="G42" i="13"/>
  <c r="F89" i="12"/>
  <c r="F42" i="13"/>
  <c r="E89" i="12"/>
  <c r="E42" i="13"/>
  <c r="D89" i="12"/>
  <c r="D42" i="13"/>
  <c r="C89" i="12"/>
  <c r="C42" i="13"/>
  <c r="B89" i="12"/>
  <c r="B42" i="13"/>
  <c r="G88" i="12"/>
  <c r="G41" i="13"/>
  <c r="F88" i="12"/>
  <c r="F41" i="13"/>
  <c r="E88" i="12"/>
  <c r="E41" i="13"/>
  <c r="D88" i="12"/>
  <c r="D41" i="13"/>
  <c r="C88" i="12"/>
  <c r="C41" i="13"/>
  <c r="B88" i="12"/>
  <c r="B41" i="13"/>
  <c r="G86" i="12"/>
  <c r="G39" i="13"/>
  <c r="F86" i="12"/>
  <c r="F39" i="13"/>
  <c r="E86" i="12"/>
  <c r="E39" i="13"/>
  <c r="D86" i="12"/>
  <c r="D39" i="13"/>
  <c r="C86" i="12"/>
  <c r="C39" i="13"/>
  <c r="B86" i="12"/>
  <c r="B39" i="13"/>
  <c r="G29" i="12"/>
  <c r="G7" i="13"/>
  <c r="G30" i="12"/>
  <c r="G8" i="13"/>
  <c r="G9" i="12"/>
  <c r="G10" i="12"/>
  <c r="G9" i="13"/>
  <c r="G16" i="12"/>
  <c r="G17" i="12"/>
  <c r="G18" i="12"/>
  <c r="G19" i="12"/>
  <c r="G20" i="12"/>
  <c r="G21" i="12"/>
  <c r="G23" i="12"/>
  <c r="G24" i="12"/>
  <c r="G25" i="12"/>
  <c r="G27" i="12"/>
  <c r="G28" i="12"/>
  <c r="G11" i="13"/>
  <c r="G8" i="12"/>
  <c r="G15" i="12"/>
  <c r="G12" i="13"/>
  <c r="G11" i="12"/>
  <c r="G13" i="13"/>
  <c r="G12" i="12"/>
  <c r="G13" i="12"/>
  <c r="G14" i="12"/>
  <c r="G14" i="13"/>
  <c r="G15" i="13"/>
  <c r="G34" i="12"/>
  <c r="G35" i="12"/>
  <c r="G36" i="12"/>
  <c r="G37" i="12"/>
  <c r="G38" i="12"/>
  <c r="G39" i="12"/>
  <c r="G40" i="12"/>
  <c r="G41" i="12"/>
  <c r="G18" i="13"/>
  <c r="G62" i="12"/>
  <c r="G63" i="12"/>
  <c r="G19" i="13"/>
  <c r="G42" i="12"/>
  <c r="G43" i="12"/>
  <c r="G44" i="12"/>
  <c r="G45" i="12"/>
  <c r="G46" i="12"/>
  <c r="G47" i="12"/>
  <c r="G48" i="12"/>
  <c r="G49" i="12"/>
  <c r="G54" i="12"/>
  <c r="G55" i="12"/>
  <c r="G56" i="12"/>
  <c r="G57" i="12"/>
  <c r="G58" i="12"/>
  <c r="G59" i="12"/>
  <c r="G60" i="12"/>
  <c r="G61" i="12"/>
  <c r="G20" i="13"/>
  <c r="G50" i="12"/>
  <c r="G51" i="12"/>
  <c r="G52" i="12"/>
  <c r="G53" i="12"/>
  <c r="G69" i="12"/>
  <c r="G22" i="13"/>
  <c r="G21" i="13"/>
  <c r="G74" i="12"/>
  <c r="G23" i="13"/>
  <c r="G64" i="12"/>
  <c r="G65" i="12"/>
  <c r="G66" i="12"/>
  <c r="G24" i="13"/>
  <c r="G67" i="12"/>
  <c r="G68" i="12"/>
  <c r="G25" i="13"/>
  <c r="G71" i="12"/>
  <c r="G26" i="13"/>
  <c r="G70" i="12"/>
  <c r="G27" i="13"/>
  <c r="G73" i="12"/>
  <c r="G28" i="13"/>
  <c r="G72" i="12"/>
  <c r="G75" i="12"/>
  <c r="G29" i="13"/>
  <c r="G30" i="13"/>
  <c r="G31" i="13"/>
  <c r="G35" i="13"/>
  <c r="G36" i="13"/>
  <c r="F29" i="12"/>
  <c r="F7" i="13"/>
  <c r="F30" i="12"/>
  <c r="F8" i="13"/>
  <c r="F9" i="12"/>
  <c r="F10" i="12"/>
  <c r="F9" i="13"/>
  <c r="F16" i="12"/>
  <c r="F17" i="12"/>
  <c r="F18" i="12"/>
  <c r="F19" i="12"/>
  <c r="F20" i="12"/>
  <c r="F21" i="12"/>
  <c r="F23" i="12"/>
  <c r="F24" i="12"/>
  <c r="F25" i="12"/>
  <c r="F27" i="12"/>
  <c r="F28" i="12"/>
  <c r="F11" i="13"/>
  <c r="F8" i="12"/>
  <c r="F15" i="12"/>
  <c r="F12" i="13"/>
  <c r="F11" i="12"/>
  <c r="F13" i="13"/>
  <c r="F12" i="12"/>
  <c r="F13" i="12"/>
  <c r="F14" i="12"/>
  <c r="F14" i="13"/>
  <c r="F15" i="13"/>
  <c r="F34" i="12"/>
  <c r="F35" i="12"/>
  <c r="F36" i="12"/>
  <c r="F37" i="12"/>
  <c r="F38" i="12"/>
  <c r="F39" i="12"/>
  <c r="F40" i="12"/>
  <c r="F41" i="12"/>
  <c r="F18" i="13"/>
  <c r="F62" i="12"/>
  <c r="F63" i="12"/>
  <c r="F19" i="13"/>
  <c r="F42" i="12"/>
  <c r="F43" i="12"/>
  <c r="F44" i="12"/>
  <c r="F45" i="12"/>
  <c r="F46" i="12"/>
  <c r="F47" i="12"/>
  <c r="F48" i="12"/>
  <c r="F49" i="12"/>
  <c r="F54" i="12"/>
  <c r="F55" i="12"/>
  <c r="F56" i="12"/>
  <c r="F57" i="12"/>
  <c r="F58" i="12"/>
  <c r="F59" i="12"/>
  <c r="F60" i="12"/>
  <c r="F61" i="12"/>
  <c r="F20" i="13"/>
  <c r="F50" i="12"/>
  <c r="F51" i="12"/>
  <c r="F52" i="12"/>
  <c r="F53" i="12"/>
  <c r="F69" i="12"/>
  <c r="F22" i="13"/>
  <c r="F21" i="13"/>
  <c r="F74" i="12"/>
  <c r="F23" i="13"/>
  <c r="F64" i="12"/>
  <c r="F65" i="12"/>
  <c r="F66" i="12"/>
  <c r="F24" i="13"/>
  <c r="F67" i="12"/>
  <c r="F68" i="12"/>
  <c r="F25" i="13"/>
  <c r="F71" i="12"/>
  <c r="F26" i="13"/>
  <c r="F70" i="12"/>
  <c r="F27" i="13"/>
  <c r="F73" i="12"/>
  <c r="F28" i="13"/>
  <c r="F72" i="12"/>
  <c r="F75" i="12"/>
  <c r="F29" i="13"/>
  <c r="F30" i="13"/>
  <c r="F31" i="13"/>
  <c r="F35" i="13"/>
  <c r="F36" i="13"/>
  <c r="E29" i="12"/>
  <c r="E7" i="13"/>
  <c r="E30" i="12"/>
  <c r="E8" i="13"/>
  <c r="E9" i="12"/>
  <c r="E10" i="12"/>
  <c r="E9" i="13"/>
  <c r="E16" i="12"/>
  <c r="E17" i="12"/>
  <c r="E18" i="12"/>
  <c r="E19" i="12"/>
  <c r="E20" i="12"/>
  <c r="E21" i="12"/>
  <c r="E23" i="12"/>
  <c r="E24" i="12"/>
  <c r="E25" i="12"/>
  <c r="E27" i="12"/>
  <c r="E28" i="12"/>
  <c r="E11" i="13"/>
  <c r="E8" i="12"/>
  <c r="E15" i="12"/>
  <c r="E12" i="13"/>
  <c r="E11" i="12"/>
  <c r="E13" i="13"/>
  <c r="E12" i="12"/>
  <c r="E13" i="12"/>
  <c r="E14" i="12"/>
  <c r="E14" i="13"/>
  <c r="E15" i="13"/>
  <c r="E34" i="12"/>
  <c r="E35" i="12"/>
  <c r="E36" i="12"/>
  <c r="E37" i="12"/>
  <c r="E38" i="12"/>
  <c r="E39" i="12"/>
  <c r="E40" i="12"/>
  <c r="E41" i="12"/>
  <c r="E18" i="13"/>
  <c r="E62" i="12"/>
  <c r="E63" i="12"/>
  <c r="E19" i="13"/>
  <c r="E42" i="12"/>
  <c r="E43" i="12"/>
  <c r="E44" i="12"/>
  <c r="E45" i="12"/>
  <c r="E46" i="12"/>
  <c r="E47" i="12"/>
  <c r="E48" i="12"/>
  <c r="E49" i="12"/>
  <c r="E54" i="12"/>
  <c r="E55" i="12"/>
  <c r="E56" i="12"/>
  <c r="E57" i="12"/>
  <c r="E58" i="12"/>
  <c r="E59" i="12"/>
  <c r="E60" i="12"/>
  <c r="E61" i="12"/>
  <c r="E20" i="13"/>
  <c r="E50" i="12"/>
  <c r="E51" i="12"/>
  <c r="E52" i="12"/>
  <c r="E53" i="12"/>
  <c r="E69" i="12"/>
  <c r="E22" i="13"/>
  <c r="E21" i="13"/>
  <c r="E74" i="12"/>
  <c r="E23" i="13"/>
  <c r="E64" i="12"/>
  <c r="E65" i="12"/>
  <c r="E66" i="12"/>
  <c r="E24" i="13"/>
  <c r="E67" i="12"/>
  <c r="E68" i="12"/>
  <c r="E25" i="13"/>
  <c r="E71" i="12"/>
  <c r="E26" i="13"/>
  <c r="E70" i="12"/>
  <c r="E27" i="13"/>
  <c r="E73" i="12"/>
  <c r="E28" i="13"/>
  <c r="E72" i="12"/>
  <c r="E75" i="12"/>
  <c r="E29" i="13"/>
  <c r="E30" i="13"/>
  <c r="E31" i="13"/>
  <c r="E35" i="13"/>
  <c r="E36" i="13"/>
  <c r="D29" i="12"/>
  <c r="D7" i="13"/>
  <c r="D30" i="12"/>
  <c r="D8" i="13"/>
  <c r="D9" i="12"/>
  <c r="D10" i="12"/>
  <c r="D9" i="13"/>
  <c r="D16" i="12"/>
  <c r="D17" i="12"/>
  <c r="D18" i="12"/>
  <c r="D19" i="12"/>
  <c r="D20" i="12"/>
  <c r="D21" i="12"/>
  <c r="D23" i="12"/>
  <c r="D24" i="12"/>
  <c r="D25" i="12"/>
  <c r="D27" i="12"/>
  <c r="D28" i="12"/>
  <c r="D11" i="13"/>
  <c r="D8" i="12"/>
  <c r="D15" i="12"/>
  <c r="D12" i="13"/>
  <c r="D11" i="12"/>
  <c r="D13" i="13"/>
  <c r="D12" i="12"/>
  <c r="D13" i="12"/>
  <c r="D14" i="12"/>
  <c r="D14" i="13"/>
  <c r="D15" i="13"/>
  <c r="D34" i="12"/>
  <c r="D35" i="12"/>
  <c r="D36" i="12"/>
  <c r="D37" i="12"/>
  <c r="D38" i="12"/>
  <c r="D39" i="12"/>
  <c r="D40" i="12"/>
  <c r="D41" i="12"/>
  <c r="D18" i="13"/>
  <c r="D62" i="12"/>
  <c r="D63" i="12"/>
  <c r="D19" i="13"/>
  <c r="D42" i="12"/>
  <c r="D43" i="12"/>
  <c r="D44" i="12"/>
  <c r="D45" i="12"/>
  <c r="D46" i="12"/>
  <c r="D47" i="12"/>
  <c r="D48" i="12"/>
  <c r="D49" i="12"/>
  <c r="D54" i="12"/>
  <c r="D55" i="12"/>
  <c r="D56" i="12"/>
  <c r="D57" i="12"/>
  <c r="D58" i="12"/>
  <c r="D59" i="12"/>
  <c r="D60" i="12"/>
  <c r="D61" i="12"/>
  <c r="D20" i="13"/>
  <c r="D50" i="12"/>
  <c r="D51" i="12"/>
  <c r="D52" i="12"/>
  <c r="D53" i="12"/>
  <c r="D69" i="12"/>
  <c r="D22" i="13"/>
  <c r="D21" i="13"/>
  <c r="D74" i="12"/>
  <c r="D23" i="13"/>
  <c r="D64" i="12"/>
  <c r="D65" i="12"/>
  <c r="D66" i="12"/>
  <c r="D24" i="13"/>
  <c r="D67" i="12"/>
  <c r="D68" i="12"/>
  <c r="D25" i="13"/>
  <c r="D71" i="12"/>
  <c r="D26" i="13"/>
  <c r="D70" i="12"/>
  <c r="D27" i="13"/>
  <c r="D73" i="12"/>
  <c r="D28" i="13"/>
  <c r="D72" i="12"/>
  <c r="D75" i="12"/>
  <c r="D29" i="13"/>
  <c r="D30" i="13"/>
  <c r="D31" i="13"/>
  <c r="D35" i="13"/>
  <c r="D36" i="13"/>
  <c r="C29" i="12"/>
  <c r="C7" i="13"/>
  <c r="E30" i="7"/>
  <c r="C30" i="12"/>
  <c r="C8" i="13"/>
  <c r="E9" i="7"/>
  <c r="C9" i="12"/>
  <c r="E10" i="7"/>
  <c r="C10" i="12"/>
  <c r="C9" i="13"/>
  <c r="E16" i="7"/>
  <c r="C16" i="12"/>
  <c r="E17" i="7"/>
  <c r="C17" i="12"/>
  <c r="E18" i="7"/>
  <c r="C18" i="12"/>
  <c r="E19" i="7"/>
  <c r="C19" i="12"/>
  <c r="E20" i="7"/>
  <c r="C20" i="12"/>
  <c r="E21" i="7"/>
  <c r="C21" i="12"/>
  <c r="E23" i="7"/>
  <c r="C23" i="12"/>
  <c r="E24" i="7"/>
  <c r="C24" i="12"/>
  <c r="E25" i="7"/>
  <c r="C25" i="12"/>
  <c r="E27" i="7"/>
  <c r="C27" i="12"/>
  <c r="E28" i="7"/>
  <c r="C28" i="12"/>
  <c r="C11" i="13"/>
  <c r="E8" i="7"/>
  <c r="C8" i="12"/>
  <c r="E15" i="7"/>
  <c r="C15" i="12"/>
  <c r="C12" i="13"/>
  <c r="E11" i="7"/>
  <c r="C11" i="12"/>
  <c r="C13" i="13"/>
  <c r="E12" i="7"/>
  <c r="C12" i="12"/>
  <c r="E13" i="7"/>
  <c r="C13" i="12"/>
  <c r="E14" i="7"/>
  <c r="C14" i="12"/>
  <c r="C14" i="13"/>
  <c r="C15" i="13"/>
  <c r="C34" i="12"/>
  <c r="C35" i="12"/>
  <c r="C36" i="12"/>
  <c r="C37" i="12"/>
  <c r="C38" i="12"/>
  <c r="C39" i="12"/>
  <c r="C40" i="12"/>
  <c r="C41" i="12"/>
  <c r="C18" i="13"/>
  <c r="C62" i="12"/>
  <c r="C63" i="12"/>
  <c r="C19" i="13"/>
  <c r="C42" i="12"/>
  <c r="C43" i="12"/>
  <c r="C44" i="12"/>
  <c r="C45" i="12"/>
  <c r="C46" i="12"/>
  <c r="C47" i="12"/>
  <c r="C48" i="12"/>
  <c r="C49" i="12"/>
  <c r="C54" i="12"/>
  <c r="C55" i="12"/>
  <c r="C56" i="12"/>
  <c r="C57" i="12"/>
  <c r="C58" i="12"/>
  <c r="C59" i="12"/>
  <c r="C60" i="12"/>
  <c r="C61" i="12"/>
  <c r="C20" i="13"/>
  <c r="C50" i="12"/>
  <c r="C51" i="12"/>
  <c r="C52" i="12"/>
  <c r="C53" i="12"/>
  <c r="C69" i="12"/>
  <c r="C22" i="13"/>
  <c r="C21" i="13"/>
  <c r="C74" i="12"/>
  <c r="C23" i="13"/>
  <c r="C64" i="12"/>
  <c r="C65" i="12"/>
  <c r="C66" i="12"/>
  <c r="C24" i="13"/>
  <c r="C67" i="12"/>
  <c r="C68" i="12"/>
  <c r="C25" i="13"/>
  <c r="C71" i="12"/>
  <c r="C26" i="13"/>
  <c r="C70" i="12"/>
  <c r="C27" i="13"/>
  <c r="C73" i="12"/>
  <c r="C28" i="13"/>
  <c r="C72" i="12"/>
  <c r="C75" i="12"/>
  <c r="C29" i="13"/>
  <c r="C30" i="13"/>
  <c r="C31" i="13"/>
  <c r="C35" i="13"/>
  <c r="C36" i="13"/>
  <c r="B29" i="12"/>
  <c r="B7" i="13"/>
  <c r="B30" i="12"/>
  <c r="B8" i="13"/>
  <c r="B9" i="12"/>
  <c r="B10" i="12"/>
  <c r="B9" i="13"/>
  <c r="B16" i="12"/>
  <c r="B17" i="12"/>
  <c r="B18" i="12"/>
  <c r="B19" i="12"/>
  <c r="B20" i="12"/>
  <c r="B21" i="12"/>
  <c r="B23" i="12"/>
  <c r="B24" i="12"/>
  <c r="B25" i="12"/>
  <c r="B27" i="12"/>
  <c r="B28" i="12"/>
  <c r="B11" i="13"/>
  <c r="B8" i="12"/>
  <c r="B15" i="12"/>
  <c r="B12" i="13"/>
  <c r="B11" i="12"/>
  <c r="B13" i="13"/>
  <c r="B12" i="12"/>
  <c r="B13" i="12"/>
  <c r="B14" i="12"/>
  <c r="B14" i="13"/>
  <c r="B15" i="13"/>
  <c r="B34" i="12"/>
  <c r="B35" i="12"/>
  <c r="B36" i="12"/>
  <c r="B37" i="12"/>
  <c r="B38" i="12"/>
  <c r="B39" i="12"/>
  <c r="B40" i="12"/>
  <c r="B41" i="12"/>
  <c r="B18" i="13"/>
  <c r="B62" i="12"/>
  <c r="B63" i="12"/>
  <c r="B19" i="13"/>
  <c r="B42" i="12"/>
  <c r="B43" i="12"/>
  <c r="B44" i="12"/>
  <c r="B45" i="12"/>
  <c r="B46" i="12"/>
  <c r="B47" i="12"/>
  <c r="B48" i="12"/>
  <c r="B49" i="12"/>
  <c r="B54" i="12"/>
  <c r="B55" i="12"/>
  <c r="B56" i="12"/>
  <c r="B57" i="12"/>
  <c r="B58" i="12"/>
  <c r="B59" i="12"/>
  <c r="B60" i="12"/>
  <c r="B61" i="12"/>
  <c r="B20" i="13"/>
  <c r="B50" i="12"/>
  <c r="B51" i="12"/>
  <c r="B52" i="12"/>
  <c r="B53" i="12"/>
  <c r="B69" i="12"/>
  <c r="B22" i="13"/>
  <c r="B21" i="13"/>
  <c r="B74" i="12"/>
  <c r="B23" i="13"/>
  <c r="B64" i="12"/>
  <c r="B65" i="12"/>
  <c r="B66" i="12"/>
  <c r="B24" i="13"/>
  <c r="B67" i="12"/>
  <c r="B68" i="12"/>
  <c r="B25" i="13"/>
  <c r="B71" i="12"/>
  <c r="B26" i="13"/>
  <c r="B70" i="12"/>
  <c r="B27" i="13"/>
  <c r="B73" i="12"/>
  <c r="B28" i="13"/>
  <c r="B72" i="12"/>
  <c r="B75" i="12"/>
  <c r="B29" i="13"/>
  <c r="B30" i="13"/>
  <c r="B31" i="13"/>
  <c r="B36" i="13"/>
  <c r="G34" i="13"/>
  <c r="F34" i="13"/>
  <c r="E34" i="13"/>
  <c r="D34" i="13"/>
  <c r="C34" i="13"/>
  <c r="G5" i="13"/>
  <c r="F5" i="13"/>
  <c r="E5" i="13"/>
  <c r="D5" i="13"/>
  <c r="C5" i="13"/>
  <c r="B5" i="13"/>
  <c r="G4" i="13"/>
  <c r="F4" i="13"/>
  <c r="E4" i="13"/>
  <c r="D4" i="13"/>
  <c r="C4" i="13"/>
  <c r="A1" i="5"/>
  <c r="A1" i="13"/>
  <c r="G105" i="12"/>
  <c r="G76" i="12"/>
  <c r="G106" i="12"/>
  <c r="F105" i="12"/>
  <c r="F76" i="12"/>
  <c r="F106" i="12"/>
  <c r="E105" i="12"/>
  <c r="E76" i="12"/>
  <c r="E106" i="12"/>
  <c r="D105" i="12"/>
  <c r="D76" i="12"/>
  <c r="D106" i="12"/>
  <c r="C105" i="12"/>
  <c r="C76" i="12"/>
  <c r="C106" i="12"/>
  <c r="B105" i="12"/>
  <c r="B76" i="12"/>
  <c r="B106" i="12"/>
  <c r="G44" i="4"/>
  <c r="G45" i="4"/>
  <c r="G101" i="12"/>
  <c r="G94" i="12"/>
  <c r="G102" i="12"/>
  <c r="G97" i="12"/>
  <c r="G103" i="12"/>
  <c r="F44" i="4"/>
  <c r="F45" i="4"/>
  <c r="F101" i="12"/>
  <c r="F94" i="12"/>
  <c r="F102" i="12"/>
  <c r="F97" i="12"/>
  <c r="F103" i="12"/>
  <c r="E44" i="4"/>
  <c r="E45" i="4"/>
  <c r="E101" i="12"/>
  <c r="E94" i="12"/>
  <c r="E102" i="12"/>
  <c r="E97" i="12"/>
  <c r="E103" i="12"/>
  <c r="D44" i="4"/>
  <c r="D45" i="4"/>
  <c r="D101" i="12"/>
  <c r="D94" i="12"/>
  <c r="D102" i="12"/>
  <c r="D97" i="12"/>
  <c r="D103" i="12"/>
  <c r="C44" i="4"/>
  <c r="C45" i="4"/>
  <c r="C101" i="12"/>
  <c r="C94" i="12"/>
  <c r="C102" i="12"/>
  <c r="C97" i="12"/>
  <c r="C103" i="12"/>
  <c r="B44" i="4"/>
  <c r="B45" i="4"/>
  <c r="B101" i="12"/>
  <c r="B94" i="12"/>
  <c r="B102" i="12"/>
  <c r="B97" i="12"/>
  <c r="B103" i="12"/>
  <c r="G98" i="12"/>
  <c r="F98" i="12"/>
  <c r="E98" i="12"/>
  <c r="D98" i="12"/>
  <c r="C98" i="12"/>
  <c r="B98" i="12"/>
  <c r="G95" i="12"/>
  <c r="F95" i="12"/>
  <c r="E95" i="12"/>
  <c r="D95" i="12"/>
  <c r="C95" i="12"/>
  <c r="B95" i="12"/>
  <c r="G31" i="12"/>
  <c r="G78" i="12"/>
  <c r="G81" i="12"/>
  <c r="G82" i="12"/>
  <c r="G84" i="12"/>
  <c r="F31" i="12"/>
  <c r="F78" i="12"/>
  <c r="F81" i="12"/>
  <c r="F82" i="12"/>
  <c r="F84" i="12"/>
  <c r="E31" i="12"/>
  <c r="E78" i="12"/>
  <c r="E81" i="12"/>
  <c r="E82" i="12"/>
  <c r="E84" i="12"/>
  <c r="D31" i="12"/>
  <c r="D78" i="12"/>
  <c r="D81" i="12"/>
  <c r="D82" i="12"/>
  <c r="D84" i="12"/>
  <c r="C31" i="12"/>
  <c r="C78" i="12"/>
  <c r="C81" i="12"/>
  <c r="C82" i="12"/>
  <c r="C84" i="12"/>
  <c r="B31" i="12"/>
  <c r="B78" i="12"/>
  <c r="B84" i="12"/>
  <c r="G6" i="12"/>
  <c r="F6" i="12"/>
  <c r="E6" i="12"/>
  <c r="D6" i="12"/>
  <c r="C6" i="12"/>
  <c r="B6" i="12"/>
  <c r="G5" i="12"/>
  <c r="F5" i="12"/>
  <c r="E5" i="12"/>
  <c r="D5" i="12"/>
  <c r="C5" i="12"/>
  <c r="A1" i="12"/>
  <c r="E83" i="11"/>
  <c r="D31" i="11"/>
  <c r="D76" i="11"/>
  <c r="D78" i="11"/>
  <c r="D83" i="11"/>
  <c r="C31" i="11"/>
  <c r="C76" i="11"/>
  <c r="C78" i="11"/>
  <c r="C83" i="11"/>
  <c r="B76" i="11"/>
  <c r="B78" i="11"/>
  <c r="B83" i="11"/>
  <c r="B3" i="11"/>
  <c r="A2" i="11"/>
  <c r="A1" i="11"/>
  <c r="E83" i="10"/>
  <c r="D31" i="10"/>
  <c r="D76" i="10"/>
  <c r="D78" i="10"/>
  <c r="D83" i="10"/>
  <c r="C31" i="10"/>
  <c r="C76" i="10"/>
  <c r="C78" i="10"/>
  <c r="C83" i="10"/>
  <c r="B76" i="10"/>
  <c r="B78" i="10"/>
  <c r="B83" i="10"/>
  <c r="B3" i="10"/>
  <c r="A2" i="10"/>
  <c r="A1" i="10"/>
  <c r="E83" i="9"/>
  <c r="D31" i="9"/>
  <c r="D76" i="9"/>
  <c r="D78" i="9"/>
  <c r="D83" i="9"/>
  <c r="C31" i="9"/>
  <c r="C76" i="9"/>
  <c r="C78" i="9"/>
  <c r="C83" i="9"/>
  <c r="B76" i="9"/>
  <c r="B78" i="9"/>
  <c r="B83" i="9"/>
  <c r="B3" i="9"/>
  <c r="A2" i="9"/>
  <c r="A1" i="9"/>
  <c r="E83" i="8"/>
  <c r="D31" i="8"/>
  <c r="D76" i="8"/>
  <c r="D78" i="8"/>
  <c r="D83" i="8"/>
  <c r="C31" i="8"/>
  <c r="C76" i="8"/>
  <c r="C78" i="8"/>
  <c r="C83" i="8"/>
  <c r="B76" i="8"/>
  <c r="B78" i="8"/>
  <c r="B83" i="8"/>
  <c r="B3" i="8"/>
  <c r="A2" i="8"/>
  <c r="A1" i="8"/>
  <c r="E83" i="7"/>
  <c r="D83" i="7"/>
  <c r="C83" i="7"/>
  <c r="B83" i="7"/>
  <c r="E31" i="7"/>
  <c r="B3" i="7"/>
  <c r="A2" i="7"/>
  <c r="A1" i="7"/>
  <c r="D31" i="6"/>
  <c r="D76" i="6"/>
  <c r="D78" i="6"/>
  <c r="D83" i="6"/>
  <c r="C31" i="6"/>
  <c r="C76" i="6"/>
  <c r="C78" i="6"/>
  <c r="C83" i="6"/>
  <c r="B21" i="6"/>
  <c r="B31" i="6"/>
  <c r="B76" i="6"/>
  <c r="B78" i="6"/>
  <c r="B83" i="6"/>
  <c r="E81" i="6"/>
  <c r="B3" i="6"/>
  <c r="A2" i="6"/>
  <c r="A1" i="6"/>
  <c r="D68" i="5"/>
  <c r="C68" i="5"/>
  <c r="G17" i="5"/>
  <c r="C15" i="5"/>
  <c r="G13" i="5"/>
  <c r="G10" i="5"/>
  <c r="G4" i="5"/>
  <c r="F4" i="5"/>
  <c r="E4" i="5"/>
  <c r="D4" i="5"/>
  <c r="C4" i="5"/>
  <c r="B4" i="5"/>
  <c r="G47" i="4"/>
  <c r="F47" i="4"/>
  <c r="E47" i="4"/>
  <c r="D47" i="4"/>
  <c r="C47" i="4"/>
  <c r="B47" i="4"/>
  <c r="G5" i="4"/>
  <c r="G40" i="4"/>
  <c r="F5" i="4"/>
  <c r="F40" i="4"/>
  <c r="E5" i="4"/>
  <c r="E40" i="4"/>
  <c r="D5" i="4"/>
  <c r="D40" i="4"/>
  <c r="C5" i="4"/>
  <c r="C40" i="4"/>
  <c r="G39" i="4"/>
  <c r="F39" i="4"/>
  <c r="E39" i="4"/>
  <c r="D39" i="4"/>
  <c r="C39" i="4"/>
  <c r="B15" i="4"/>
  <c r="B35" i="4"/>
  <c r="B30" i="4"/>
  <c r="B36" i="4"/>
  <c r="B37" i="4"/>
  <c r="G17" i="4"/>
  <c r="F17" i="4"/>
  <c r="E17" i="4"/>
  <c r="D17" i="4"/>
  <c r="C17" i="4"/>
  <c r="B5" i="4"/>
  <c r="B17" i="4"/>
  <c r="G4" i="4"/>
  <c r="F4" i="4"/>
  <c r="E4" i="4"/>
  <c r="D4" i="4"/>
  <c r="C4" i="4"/>
  <c r="B4" i="4"/>
  <c r="A1" i="4"/>
  <c r="F25" i="3"/>
  <c r="E25" i="3"/>
  <c r="D25" i="3"/>
  <c r="C25" i="3"/>
  <c r="A1" i="3"/>
</calcChain>
</file>

<file path=xl/comments1.xml><?xml version="1.0" encoding="utf-8"?>
<comments xmlns="http://schemas.openxmlformats.org/spreadsheetml/2006/main">
  <authors>
    <author/>
  </authors>
  <commentList>
    <comment ref="B32" authorId="0" shapeId="0">
      <text>
        <r>
          <rPr>
            <sz val="10"/>
            <color rgb="FF000000"/>
            <rFont val="Arial"/>
            <charset val="1"/>
          </rPr>
          <t>Karger, Amanda:
New schools can opt out of PERA in year 0. Otherwise this should be 20.15%.</t>
        </r>
      </text>
    </comment>
  </commentList>
</comments>
</file>

<file path=xl/sharedStrings.xml><?xml version="1.0" encoding="utf-8"?>
<sst xmlns="http://schemas.openxmlformats.org/spreadsheetml/2006/main" count="925" uniqueCount="313">
  <si>
    <t>Instructions</t>
  </si>
  <si>
    <t xml:space="preserve">The budget should balance in all years and reflect an understanding of specific statutory requirements including: 
a. separation of the general operating funds and grant funds 
b. Public Employees’ Retirement Association (PERA) contributions 
c. 3% TABOR reserve (Colorado Constitution Article X, Section 20) 
</t>
  </si>
  <si>
    <r>
      <rPr>
        <sz val="12"/>
        <rFont val="Calibri"/>
        <charset val="1"/>
      </rPr>
      <t xml:space="preserve">On the </t>
    </r>
    <r>
      <rPr>
        <sz val="12"/>
        <color rgb="FFFF6600"/>
        <rFont val="Calibri"/>
        <charset val="1"/>
      </rPr>
      <t>COVER PAGE</t>
    </r>
    <r>
      <rPr>
        <sz val="12"/>
        <rFont val="Calibri"/>
        <charset val="1"/>
      </rPr>
      <t>, fill in the cells that include blue text including the applicant's logo, proposed school name, and the developer(s).</t>
    </r>
  </si>
  <si>
    <r>
      <rPr>
        <sz val="12"/>
        <rFont val="Calibri"/>
        <charset val="1"/>
      </rPr>
      <t xml:space="preserve">On </t>
    </r>
    <r>
      <rPr>
        <sz val="12"/>
        <color rgb="FFFF6600"/>
        <rFont val="Calibri"/>
        <charset val="1"/>
      </rPr>
      <t>Page 1-Enrollment Plan</t>
    </r>
    <r>
      <rPr>
        <sz val="12"/>
        <rFont val="Calibri"/>
        <charset val="1"/>
      </rPr>
      <t xml:space="preserve">, fill in cells B6:F19 will the applicant's estimated enrollment in years 1-5. </t>
    </r>
  </si>
  <si>
    <t>Total number of students and total number of funded students will populate automatically.</t>
  </si>
  <si>
    <r>
      <rPr>
        <sz val="12"/>
        <rFont val="Calibri"/>
        <charset val="1"/>
      </rPr>
      <t xml:space="preserve">On </t>
    </r>
    <r>
      <rPr>
        <sz val="12"/>
        <color rgb="FFFF6600"/>
        <rFont val="Calibri"/>
        <charset val="1"/>
      </rPr>
      <t>Page 2-Staffing Plan</t>
    </r>
    <r>
      <rPr>
        <sz val="12"/>
        <rFont val="Calibri"/>
        <charset val="1"/>
      </rPr>
      <t>, enter position titles in column A under Instructional Staff and Admin &amp; Support.</t>
    </r>
  </si>
  <si>
    <t>Enter the corresponding FTE for years 0-5 in columns B through G.</t>
  </si>
  <si>
    <t>Enter the corresponding average position salary in column I.</t>
  </si>
  <si>
    <t>Enter Stipends/Additional Pay information as needed. For example, 5 stipends (FTE columns) @ $5,000 (column I)</t>
  </si>
  <si>
    <t>In cell I32, enter the cost of living/annual compensation percentage increase assumption.</t>
  </si>
  <si>
    <t>Student to teacher and student to staff ratios are calculated automatically at the bottom of the Staffing Plan page.</t>
  </si>
  <si>
    <t>Information on the Staffing Plan page is totaled on Pages 4-9.</t>
  </si>
  <si>
    <r>
      <rPr>
        <sz val="12"/>
        <rFont val="Calibri"/>
        <charset val="1"/>
      </rPr>
      <t xml:space="preserve">List outside services beginning on row 53. </t>
    </r>
    <r>
      <rPr>
        <sz val="12"/>
        <color rgb="FF808080"/>
        <rFont val="Calibri"/>
        <charset val="1"/>
      </rPr>
      <t>Note that these costs are not automatically linked to Pages 4-9.</t>
    </r>
  </si>
  <si>
    <r>
      <rPr>
        <sz val="12"/>
        <rFont val="Calibri"/>
        <charset val="1"/>
      </rPr>
      <t xml:space="preserve">If you plan to apply for the Charter School Program grant please use </t>
    </r>
    <r>
      <rPr>
        <sz val="12"/>
        <color rgb="FFFF6600"/>
        <rFont val="Calibri"/>
        <charset val="1"/>
      </rPr>
      <t>Support-CDE start-up grant worksheet</t>
    </r>
    <r>
      <rPr>
        <sz val="12"/>
        <rFont val="Calibri"/>
        <charset val="1"/>
      </rPr>
      <t xml:space="preserve"> to plan grant spending.</t>
    </r>
  </si>
  <si>
    <t>Use column A to list expenditures (the expenditures listed are examples only).</t>
  </si>
  <si>
    <t>Use columns B through D to list corresponding dollars amounts for grant Years 1 though 3 (operating Years 0 through 2).</t>
  </si>
  <si>
    <r>
      <rPr>
        <sz val="12"/>
        <rFont val="Calibri"/>
        <charset val="1"/>
      </rPr>
      <t xml:space="preserve">Link individual Charter School Program grant revenue and expenditure cells to </t>
    </r>
    <r>
      <rPr>
        <sz val="12"/>
        <color rgb="FFFF6600"/>
        <rFont val="Calibri"/>
        <charset val="1"/>
      </rPr>
      <t xml:space="preserve">Page 4-Year 0 through Page 9-Year 5 </t>
    </r>
    <r>
      <rPr>
        <sz val="12"/>
        <rFont val="Calibri"/>
        <charset val="1"/>
      </rPr>
      <t>or manually input revenue and expenditures on these pages.</t>
    </r>
  </si>
  <si>
    <r>
      <rPr>
        <sz val="12"/>
        <rFont val="Calibri"/>
        <charset val="1"/>
      </rPr>
      <t xml:space="preserve">On </t>
    </r>
    <r>
      <rPr>
        <sz val="12"/>
        <color rgb="FFFF6600"/>
        <rFont val="Calibri"/>
        <charset val="1"/>
      </rPr>
      <t>Page 4-Year 0 through Page 9-Year 5</t>
    </r>
    <r>
      <rPr>
        <sz val="12"/>
        <rFont val="Calibri"/>
        <charset val="1"/>
      </rPr>
      <t>, many cells will be automatically populated from the inputs on Pages 1-3.</t>
    </r>
  </si>
  <si>
    <t>Fill in blank cells with additional revenue and expenditures.</t>
  </si>
  <si>
    <t>Be sure to include expenditures associated with other grant and foundation revenue in column C.</t>
  </si>
  <si>
    <t>Add notes and additional assumptions to column F.</t>
  </si>
  <si>
    <r>
      <rPr>
        <sz val="12"/>
        <color rgb="FFFF6600"/>
        <rFont val="Calibri"/>
        <charset val="1"/>
      </rPr>
      <t>Page 10-6 yr Budget-detail</t>
    </r>
    <r>
      <rPr>
        <sz val="12"/>
        <rFont val="Calibri"/>
        <charset val="1"/>
      </rPr>
      <t xml:space="preserve"> and </t>
    </r>
    <r>
      <rPr>
        <sz val="12"/>
        <color rgb="FFFF6600"/>
        <rFont val="Calibri"/>
        <charset val="1"/>
      </rPr>
      <t>Page 11-6 yr Budget Summary</t>
    </r>
    <r>
      <rPr>
        <sz val="12"/>
        <rFont val="Calibri"/>
        <charset val="1"/>
      </rPr>
      <t xml:space="preserve"> will populate automatically.</t>
    </r>
  </si>
  <si>
    <t>These worksheets are locked and cannot be modified.</t>
  </si>
  <si>
    <t>Carefully review the entire workbook to ensure accuracy and completeness.</t>
  </si>
  <si>
    <t xml:space="preserve">NOTES: </t>
  </si>
  <si>
    <t>All revenues and expenditures are listed with CDE Chart of Accounts source/object codes. For a full list of account codes and descriptions please see http://www.cde.state.co.us/cdefinance/sfcoa.</t>
  </si>
  <si>
    <t xml:space="preserve"> </t>
  </si>
  <si>
    <t xml:space="preserve">   ENTER LOGO HERE</t>
  </si>
  <si>
    <t>6 YEAR BUDGET PROPOSAL</t>
  </si>
  <si>
    <t>AUTHORIZER:  Charter School Institute</t>
  </si>
  <si>
    <t>DEVELOPER</t>
  </si>
  <si>
    <t>DATE</t>
  </si>
  <si>
    <t>ENROLLMENT PLAN</t>
  </si>
  <si>
    <t>Projected Number of Students Per Year</t>
  </si>
  <si>
    <t>YEAR 1</t>
  </si>
  <si>
    <t>YEAR 2</t>
  </si>
  <si>
    <t>YEAR 3</t>
  </si>
  <si>
    <t>YEAR 4</t>
  </si>
  <si>
    <t>YEAR 5</t>
  </si>
  <si>
    <t>ECE</t>
  </si>
  <si>
    <t>K</t>
  </si>
  <si>
    <t>Total # students</t>
  </si>
  <si>
    <t>Total # funded*</t>
  </si>
  <si>
    <t>*does not include ECE</t>
  </si>
  <si>
    <t>STAFFING PLAN</t>
  </si>
  <si>
    <t>AVG Annual Salary</t>
  </si>
  <si>
    <t>INSTRUCTIONAL STAFF</t>
  </si>
  <si>
    <t xml:space="preserve">     Total Instructional Staff</t>
  </si>
  <si>
    <t>ADMIN &amp; SUPPORT</t>
  </si>
  <si>
    <t>STIPENDS/ADDITIONAL PAY</t>
  </si>
  <si>
    <t xml:space="preserve">     Total Admin &amp; Support</t>
  </si>
  <si>
    <t>TOTAL SALARIES</t>
  </si>
  <si>
    <t>Note: may be overstated for multi-yr due to turnover/changes</t>
  </si>
  <si>
    <t>increase/yr</t>
  </si>
  <si>
    <t>Total # Teachers</t>
  </si>
  <si>
    <t>Total # Admin &amp; Support</t>
  </si>
  <si>
    <t>Total Staff</t>
  </si>
  <si>
    <t>Student/teacher ratio</t>
  </si>
  <si>
    <t>Student/staff ratio</t>
  </si>
  <si>
    <t>Total Instructional</t>
  </si>
  <si>
    <t>Total Admin</t>
  </si>
  <si>
    <t>Variance</t>
  </si>
  <si>
    <t>ASSUMPTIONS</t>
  </si>
  <si>
    <t>REVENUE</t>
  </si>
  <si>
    <t>Recommendations</t>
  </si>
  <si>
    <t>Units (what to enter)</t>
  </si>
  <si>
    <t>Notes</t>
  </si>
  <si>
    <t>5710 · Per pupil funding (100%)</t>
  </si>
  <si>
    <t>Per funded pupil count</t>
  </si>
  <si>
    <t>Enter Geographic District PPR in each cell, plus change assumptions. 
See past year PPR funding information for geographical district here: http://www.cde.state.co.us/cdefinance/sfdetails</t>
  </si>
  <si>
    <t>5810 · CPP Funding</t>
  </si>
  <si>
    <t xml:space="preserve">50% PPR </t>
  </si>
  <si>
    <t>Per CPP Slot</t>
  </si>
  <si>
    <t>Auto Calc</t>
  </si>
  <si>
    <t>Colorado Preschool Project Slots the school is planning on requesting; 
Not Eligible in Year 1</t>
  </si>
  <si>
    <t>CPP Slots Requested</t>
  </si>
  <si>
    <t>Number of CPP slots requested</t>
  </si>
  <si>
    <t>3113 · Capital construction - Per Pupil</t>
  </si>
  <si>
    <t>Enter Per Pupil amount for Cap Construction each year. 
Expected to decrease annually by 1%
(FPC)</t>
  </si>
  <si>
    <t>3130 · ECEA</t>
  </si>
  <si>
    <t>per elible sped student</t>
  </si>
  <si>
    <t>Total Estimated Annual Funding, based on PY pupil count 
Expected 2% decrease annually</t>
  </si>
  <si>
    <t>ECEA/IDEA Eligible Student Count</t>
  </si>
  <si>
    <t>Number of estimated eligible SPED Students</t>
  </si>
  <si>
    <t>3140 · English Language Proficiency Act (ELPA)</t>
  </si>
  <si>
    <t>Per ELL Pupil</t>
  </si>
  <si>
    <t>NOT ELIGIBLE IN YEAR 1
$134.20 NEP/LEP; $102.7 per FEP
Total Estimated Annual Funding, based on PY pupil count; Expected 2% decrease annually</t>
  </si>
  <si>
    <t>Projected ELL %</t>
  </si>
  <si>
    <t>Projected ELL students as % of total Students</t>
  </si>
  <si>
    <t>Projected ELL Students</t>
  </si>
  <si>
    <t>3150 · Gifted &amp; Talented</t>
  </si>
  <si>
    <t>per pupil</t>
  </si>
  <si>
    <t>$500 + $150.00 - Eligible pupil
Total Estimated Annual Funding, based on PY pupil count 
Expected 2% decrease annually</t>
  </si>
  <si>
    <t>Projected GT Students</t>
  </si>
  <si>
    <t>3206 - READ Act</t>
  </si>
  <si>
    <t>Per SRD pupil</t>
  </si>
  <si>
    <t>NOT ELIGIBLE IN YEAR 1
$800 per eligible SRD Pupil</t>
  </si>
  <si>
    <t>Projected SRD Pupils</t>
  </si>
  <si>
    <t>Number of Estimated SRD Pupils</t>
  </si>
  <si>
    <t>4010 · Title I</t>
  </si>
  <si>
    <t>Per FRL pupil</t>
  </si>
  <si>
    <t>4027 · IDEA</t>
  </si>
  <si>
    <t>Per eligible SPED student</t>
  </si>
  <si>
    <t>4365 · Title III</t>
  </si>
  <si>
    <t>NOT ELIGIBLE IN YEAR 1
$55.91 NEP/LEP; $42.84 per FEP
Total Estimated Annual Funding, based on PY pupil count 
Expected 2% decrease annually</t>
  </si>
  <si>
    <t>Projected FRL %</t>
  </si>
  <si>
    <t>N/A</t>
  </si>
  <si>
    <t>Projected Free and Reduced Lunch Rate</t>
  </si>
  <si>
    <t>Projected K-12 FRL Students</t>
  </si>
  <si>
    <t>Preschool tuition (annual)</t>
  </si>
  <si>
    <t>Estimated Annual tuition</t>
  </si>
  <si>
    <t>Kindergarten half-day tuition (annual)</t>
  </si>
  <si>
    <t>EXPENSE</t>
  </si>
  <si>
    <t>CSI Admin expense</t>
  </si>
  <si>
    <t>CDE Admin expense</t>
  </si>
  <si>
    <t>PERA-based on calendar yr</t>
  </si>
  <si>
    <t>Per PERA: ER contribution rates will increase by .25% each year</t>
  </si>
  <si>
    <t>Social Security</t>
  </si>
  <si>
    <t>Medicare</t>
  </si>
  <si>
    <t>State Unemployment</t>
  </si>
  <si>
    <t>Assumes filing w/DOL as political subdivision (100% of wages)</t>
  </si>
  <si>
    <t>Insurance</t>
  </si>
  <si>
    <t>Total Insurance Premiums</t>
  </si>
  <si>
    <t xml:space="preserve">Minimum insurance requirements are as follows: Comprehensive general liability - $2,000,000; Officers, directors and employees errors and omissions - $1,000,000; Property - as required by landlord; </t>
  </si>
  <si>
    <t>Motor vehicle liability (if applicable) - $1,000,000; Worker's compensation - as required by law.</t>
  </si>
  <si>
    <t>INDIVIDUAL EXPENSE DRIVERS</t>
  </si>
  <si>
    <t>$/unit</t>
  </si>
  <si>
    <t>unit</t>
  </si>
  <si>
    <t>Temp employees (substitutes)</t>
  </si>
  <si>
    <t>per absence</t>
  </si>
  <si>
    <t xml:space="preserve">    # days personal days per employee</t>
  </si>
  <si>
    <t>annual</t>
  </si>
  <si>
    <t>Health plan cost</t>
  </si>
  <si>
    <t>annual/per EE</t>
  </si>
  <si>
    <t>Assume 5k with 80% participation</t>
  </si>
  <si>
    <t>Dental plan cost</t>
  </si>
  <si>
    <t>Other Employee benefits</t>
  </si>
  <si>
    <t>Travel/Reg/Entrance (Prof Dev for staff)</t>
  </si>
  <si>
    <t>Banking &amp; Payroll fees</t>
  </si>
  <si>
    <t>employee</t>
  </si>
  <si>
    <t>Assessments</t>
  </si>
  <si>
    <t>student</t>
  </si>
  <si>
    <t>Rental of building or land</t>
  </si>
  <si>
    <t>Equipment rentals - postal machine</t>
  </si>
  <si>
    <t>Equipment rentals - copier</t>
  </si>
  <si>
    <t>Postage</t>
  </si>
  <si>
    <t>Advertising/Marketing/Recruiting</t>
  </si>
  <si>
    <t>General + Janitorial supplies</t>
  </si>
  <si>
    <t>Office supplies</t>
  </si>
  <si>
    <t>Food &amp; Meeting supplies</t>
  </si>
  <si>
    <t>Dues and fees</t>
  </si>
  <si>
    <t>Transportation/Field Trips</t>
  </si>
  <si>
    <t>Professional Ed Services</t>
  </si>
  <si>
    <t>TOTAL</t>
  </si>
  <si>
    <r>
      <rPr>
        <sz val="8"/>
        <color rgb="FF000000"/>
        <rFont val="Calibri"/>
        <charset val="1"/>
      </rPr>
      <t xml:space="preserve"> </t>
    </r>
    <r>
      <rPr>
        <sz val="8"/>
        <color rgb="FF0066CC"/>
        <rFont val="Calibri"/>
        <charset val="1"/>
      </rPr>
      <t xml:space="preserve"> blue font = hard keyed</t>
    </r>
    <r>
      <rPr>
        <sz val="8"/>
        <color rgb="FF000000"/>
        <rFont val="Calibri"/>
        <charset val="1"/>
      </rPr>
      <t>, black font = formula driven</t>
    </r>
  </si>
  <si>
    <t>NOTES</t>
  </si>
  <si>
    <t>General Operating</t>
  </si>
  <si>
    <t>Grant Fund</t>
  </si>
  <si>
    <t>Grant Fund CDE CSP</t>
  </si>
  <si>
    <t>Physical Pupil Count</t>
  </si>
  <si>
    <t>Funded Pupil Count</t>
  </si>
  <si>
    <t>1000 · Foundation revenue</t>
  </si>
  <si>
    <t>1300A · Preschool tuition revenue</t>
  </si>
  <si>
    <t>1300B · Kindergarten revenue</t>
  </si>
  <si>
    <t>1510 · Interest on investments</t>
  </si>
  <si>
    <t>1600 · Food service revenue</t>
  </si>
  <si>
    <t>1700 · Pupil activities</t>
  </si>
  <si>
    <t>1740 · Fees</t>
  </si>
  <si>
    <t>1920 · Contributions and donations</t>
  </si>
  <si>
    <t>3113 · Capital construction</t>
  </si>
  <si>
    <t>3130 · Exceptional Children's Ed Act (ECEA)</t>
  </si>
  <si>
    <t>3140 · English language proficiency act (ELPA)</t>
  </si>
  <si>
    <t>3161 · State child nutrition reimb</t>
  </si>
  <si>
    <t>4027 · Special Ed (IDEA)</t>
  </si>
  <si>
    <t>4555 · Fed lunch reimb</t>
  </si>
  <si>
    <t>5282 · Charter school grant</t>
  </si>
  <si>
    <t>5810 · CPP funding</t>
  </si>
  <si>
    <t>TOTAL REVENUE</t>
  </si>
  <si>
    <t>0100 · Salaries of Regular Employees</t>
  </si>
  <si>
    <t>0120 · Salaries of temporary employees</t>
  </si>
  <si>
    <t>0221 · Medicare</t>
  </si>
  <si>
    <t>0222 · Social security</t>
  </si>
  <si>
    <t>0230 · PERA expense</t>
  </si>
  <si>
    <t>0250 · Health insurance</t>
  </si>
  <si>
    <t>0251 · Dental insurance</t>
  </si>
  <si>
    <t>0290 · Other Employee Benefits</t>
  </si>
  <si>
    <t>0300 · Prof services-food svcs</t>
  </si>
  <si>
    <t>0313 · Banking &amp; Payroll Service Fees</t>
  </si>
  <si>
    <t>0320 · Professional-education services</t>
  </si>
  <si>
    <t>0300A · Other Services - Assessments</t>
  </si>
  <si>
    <t>0331 · Legal services</t>
  </si>
  <si>
    <t>0332 · Audit &amp; accounting services</t>
  </si>
  <si>
    <t>0334 · Consultant services</t>
  </si>
  <si>
    <t>0340 · Technical services</t>
  </si>
  <si>
    <t>0410 · Utility expenses</t>
  </si>
  <si>
    <t>0423 · Custodial services</t>
  </si>
  <si>
    <t>0430 · Repairs and maintenance service</t>
  </si>
  <si>
    <t>0441 · Rental of land and buildings</t>
  </si>
  <si>
    <t>0442 · Rental of Equipment</t>
  </si>
  <si>
    <t>0520 · Insurance</t>
  </si>
  <si>
    <t>0525 · Unemployment insurance</t>
  </si>
  <si>
    <t>0526 · Workers' Comp insurance</t>
  </si>
  <si>
    <t>0531 · Telephone/fax</t>
  </si>
  <si>
    <t>0533 · Postage</t>
  </si>
  <si>
    <t>0540 · Advertising, Marketing &amp; Recruiting</t>
  </si>
  <si>
    <t>0580 · Travel, registration, entrance</t>
  </si>
  <si>
    <t>0595A · CSI Admin expense</t>
  </si>
  <si>
    <t>0595B · CDE Admin expense</t>
  </si>
  <si>
    <t>0610 · General supplies</t>
  </si>
  <si>
    <t>0611 · Office supplies</t>
  </si>
  <si>
    <t>0630 · Food &amp; meeting expenses</t>
  </si>
  <si>
    <t>0640 · Books and periodicals</t>
  </si>
  <si>
    <t>0650 · Electronic media materials</t>
  </si>
  <si>
    <t>0721 · Leasehold improvements</t>
  </si>
  <si>
    <t>0733 · Furniture and fixtures</t>
  </si>
  <si>
    <t>0735 · Non-capital equipment</t>
  </si>
  <si>
    <t>0810 · Dues and fees</t>
  </si>
  <si>
    <t>0840 · Contingency</t>
  </si>
  <si>
    <t>0851 · Transportation/field trips</t>
  </si>
  <si>
    <t>0890 · Miscellaneous expenditures</t>
  </si>
  <si>
    <t>TOTAL EXPENSE</t>
  </si>
  <si>
    <t>NET OPERATING INCOME</t>
  </si>
  <si>
    <t>OTHER SOURCES/USES OF FUNDS</t>
  </si>
  <si>
    <t>Board-Designated Fund Balance</t>
  </si>
  <si>
    <t xml:space="preserve">     Tabor Reserve</t>
  </si>
  <si>
    <t>SURPLUS/(SHORTFALL)</t>
  </si>
  <si>
    <t>Beginning Fund Balance</t>
  </si>
  <si>
    <t>Ending Fund Balance</t>
  </si>
  <si>
    <t>Restricted</t>
  </si>
  <si>
    <t>Unrestricted</t>
  </si>
  <si>
    <t>Unrestricted Fund Balance as % of Total Expenses</t>
  </si>
  <si>
    <t>Assumes 80% pay $2500/kider tuition fees</t>
  </si>
  <si>
    <t>Make revenue and income match for field trips</t>
  </si>
  <si>
    <t>Assuming each kid pitches in $100 for supplies and only 80% pay</t>
  </si>
  <si>
    <t>`</t>
  </si>
  <si>
    <t>Yearly audit + Accountant / CPA consulting</t>
  </si>
  <si>
    <t>Water / Sewage / Disposal / Gas / Electric</t>
  </si>
  <si>
    <t>OTHER SOURCES/(USES) OF FUNDS</t>
  </si>
  <si>
    <t>Tabor Reserve (added to prior yr reserves)</t>
  </si>
  <si>
    <t>0120 · Salaries of temporary employees-subs</t>
  </si>
  <si>
    <t>6 YEAR BUDGET-Detail</t>
  </si>
  <si>
    <t>YEAR 0</t>
  </si>
  <si>
    <t>1300B · Kindergarten tuition revenue</t>
  </si>
  <si>
    <t>0410 · Utility services</t>
  </si>
  <si>
    <t>Tabor Reserve (cumulative over years)</t>
  </si>
  <si>
    <t>Unrestricted Fund Bal as % of Total Expenses</t>
  </si>
  <si>
    <t>Total Instructional Expenses</t>
  </si>
  <si>
    <t xml:space="preserve">   % of Total Expenses</t>
  </si>
  <si>
    <t>Total Non-Instructional Expenses</t>
  </si>
  <si>
    <t>Salary %</t>
  </si>
  <si>
    <t>Total variances</t>
  </si>
  <si>
    <t>Facility Costs</t>
  </si>
  <si>
    <t>% of Total Expenses</t>
  </si>
  <si>
    <t>6 YEAR BUDGET-Summary</t>
  </si>
  <si>
    <t>Per Pupil Revenue</t>
  </si>
  <si>
    <t>CPP Revenue</t>
  </si>
  <si>
    <t>Tuition Revenue</t>
  </si>
  <si>
    <t>State Funding  Sources</t>
  </si>
  <si>
    <t>Federal Funding  Sources</t>
  </si>
  <si>
    <t>Grants/Contributions/Fundraising</t>
  </si>
  <si>
    <t>Interest Income</t>
  </si>
  <si>
    <t>Activities &amp; Student Fees</t>
  </si>
  <si>
    <t>Salaries and Benefits</t>
  </si>
  <si>
    <t>Authorizer Services</t>
  </si>
  <si>
    <t>Purchased Services (w/o Bldg Costs)</t>
  </si>
  <si>
    <t>Utilities &amp; Building Expenses</t>
  </si>
  <si>
    <t>Rental - Land/Building</t>
  </si>
  <si>
    <t>Student Activities</t>
  </si>
  <si>
    <t>Supplies and Materials</t>
  </si>
  <si>
    <t>Books, Periodicals, &amp; Software</t>
  </si>
  <si>
    <t>Non-capital equipment</t>
  </si>
  <si>
    <t>Furniture and fixtures</t>
  </si>
  <si>
    <t>Contingency</t>
  </si>
  <si>
    <t>Other Expenditures</t>
  </si>
  <si>
    <t>Tabor Reserve (cumulative over yrs)</t>
  </si>
  <si>
    <t>Unrestricted FB as % of Total Exp's</t>
  </si>
  <si>
    <t>CDE START-UP GRANT</t>
  </si>
  <si>
    <t>Sample Expenditures</t>
  </si>
  <si>
    <t>Salary - Ex. Director (3 months)</t>
  </si>
  <si>
    <t>Benefits - Ex. Director (3 months)</t>
  </si>
  <si>
    <t>Salary - Office Manager (3 months)</t>
  </si>
  <si>
    <t>Benefits - Office Manager (3 months)</t>
  </si>
  <si>
    <t>Financial Consultant (establishing financial systems)</t>
  </si>
  <si>
    <t>Legal Services</t>
  </si>
  <si>
    <t>IT services (establishing infrastructure)</t>
  </si>
  <si>
    <t>Marketing/Advertising - student &amp; staff recruitment (ads+events)</t>
  </si>
  <si>
    <t>Professional Development</t>
  </si>
  <si>
    <t>Curriculum</t>
  </si>
  <si>
    <t>Staff furniture</t>
  </si>
  <si>
    <t>Student furniture</t>
  </si>
  <si>
    <t>Bookshelves + Tables</t>
  </si>
  <si>
    <t>Staff laptops</t>
  </si>
  <si>
    <t>Student laptops</t>
  </si>
  <si>
    <t>Server + network peripherals</t>
  </si>
  <si>
    <t>CSSP visit / review</t>
  </si>
  <si>
    <t>Balance of funds</t>
  </si>
  <si>
    <t>Example: Teachers</t>
  </si>
  <si>
    <t>Example: Principal</t>
  </si>
  <si>
    <t>Notes:  Enter position title, # of positions, average salary, increase/yr</t>
  </si>
  <si>
    <t>4367 - Title II</t>
  </si>
  <si>
    <t>Per FRL Pupil</t>
  </si>
  <si>
    <t>The higher of $1,500 or $62.11*FRL count</t>
  </si>
  <si>
    <t>for schools with FRL 35% or above</t>
  </si>
  <si>
    <t>4367 · Title II</t>
  </si>
  <si>
    <t>Year 0</t>
  </si>
  <si>
    <t>Year 1</t>
  </si>
  <si>
    <t>Year 2</t>
  </si>
  <si>
    <t xml:space="preserve">All cells on pages 1 -3 highlighted in yellow should be populated. All cells with black text are formula driven and populate automatically. </t>
  </si>
  <si>
    <t xml:space="preserve">Many cells on pages 4-9 are formula driven and populate automatically based on information entered into pages 1-3  </t>
  </si>
  <si>
    <r>
      <t xml:space="preserve">On </t>
    </r>
    <r>
      <rPr>
        <sz val="12"/>
        <color rgb="FFFF6600"/>
        <rFont val="Calibri"/>
        <charset val="1"/>
      </rPr>
      <t>Page 3-Assumptions</t>
    </r>
    <r>
      <rPr>
        <sz val="12"/>
        <rFont val="Calibri"/>
        <charset val="1"/>
      </rPr>
      <t>, fill in yellow cells located from B5 to G34, and B38 to B55</t>
    </r>
  </si>
  <si>
    <t>All cells on pages 10-11 are formula driven and populate automatically.</t>
  </si>
  <si>
    <t>3241-Mill Levy Equalization Funds</t>
  </si>
  <si>
    <t>As of FY 2018-19, allocation is estimated at $311.47 per funded pupil count. Subject to change each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</si>
</sst>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mmmm\ d&quot;, &quot;yyyy"/>
    <numFmt numFmtId="165" formatCode="\$#,##0_);&quot;($&quot;#,##0\)"/>
    <numFmt numFmtId="166" formatCode="0.0"/>
    <numFmt numFmtId="167" formatCode="_(\$* #,##0_);_(\$* \(#,##0\);_(\$* \-_);_(@_)"/>
    <numFmt numFmtId="168" formatCode="_(\$* #,##0.00_);_(\$* \(#,##0.00\);_(\$* \-??_);_(@_)"/>
    <numFmt numFmtId="169" formatCode="_(\$* #,##0_);_(\$* \(#,##0\);_(\$* \-??_);_(@_)"/>
    <numFmt numFmtId="170" formatCode="\$#,##0.00"/>
    <numFmt numFmtId="171" formatCode="\$#,##0_);[Red]&quot;($&quot;#,##0\)"/>
    <numFmt numFmtId="172" formatCode="_(* #,##0_);_(* \(#,##0\);_(* \-_);_(@_)"/>
    <numFmt numFmtId="173" formatCode="_(* #,##0.00_);_(* \(#,##0.00\);_(* \-??_);_(@_)"/>
    <numFmt numFmtId="174" formatCode="\$#,##0.00_);[Red]&quot;($&quot;#,##0.00\)"/>
    <numFmt numFmtId="175" formatCode="_(* #,##0_);_(* \(#,##0\);_(* \-??_);_(@_)"/>
    <numFmt numFmtId="176" formatCode="#,##0.0_);\(#,##0.0\)"/>
  </numFmts>
  <fonts count="48" x14ac:knownFonts="1">
    <font>
      <sz val="10"/>
      <color rgb="FF000000"/>
      <name val="Arial"/>
      <charset val="1"/>
    </font>
    <font>
      <b/>
      <sz val="10"/>
      <name val="Calibri"/>
      <charset val="1"/>
    </font>
    <font>
      <sz val="10"/>
      <name val="Calibri"/>
      <charset val="1"/>
    </font>
    <font>
      <b/>
      <sz val="20"/>
      <name val="Calibri"/>
      <charset val="1"/>
    </font>
    <font>
      <b/>
      <sz val="12"/>
      <name val="Calibri"/>
      <charset val="1"/>
    </font>
    <font>
      <sz val="12"/>
      <name val="Calibri"/>
      <charset val="1"/>
    </font>
    <font>
      <sz val="12"/>
      <color rgb="FFFF6600"/>
      <name val="Calibri"/>
      <charset val="1"/>
    </font>
    <font>
      <sz val="12"/>
      <color rgb="FF808080"/>
      <name val="Calibri"/>
      <charset val="1"/>
    </font>
    <font>
      <sz val="10"/>
      <color rgb="FF7030A0"/>
      <name val="Calibri"/>
      <charset val="1"/>
    </font>
    <font>
      <b/>
      <sz val="12"/>
      <color rgb="FF7030A0"/>
      <name val="Calibri"/>
      <charset val="1"/>
    </font>
    <font>
      <sz val="12"/>
      <color rgb="FF0070C0"/>
      <name val="Calibri"/>
      <charset val="1"/>
    </font>
    <font>
      <sz val="36"/>
      <color rgb="FF0070C0"/>
      <name val="Calibri"/>
      <charset val="1"/>
    </font>
    <font>
      <sz val="22"/>
      <name val="Calibri"/>
      <charset val="1"/>
    </font>
    <font>
      <sz val="18"/>
      <name val="Calibri"/>
      <charset val="1"/>
    </font>
    <font>
      <u/>
      <sz val="18"/>
      <name val="Calibri"/>
      <charset val="1"/>
    </font>
    <font>
      <i/>
      <sz val="14"/>
      <color rgb="FF0070C0"/>
      <name val="Calibri"/>
      <charset val="1"/>
    </font>
    <font>
      <sz val="14"/>
      <name val="Calibri"/>
      <charset val="1"/>
    </font>
    <font>
      <b/>
      <sz val="14"/>
      <name val="Calibri"/>
      <charset val="1"/>
    </font>
    <font>
      <sz val="10"/>
      <color rgb="FF0070C0"/>
      <name val="Calibri"/>
      <charset val="1"/>
    </font>
    <font>
      <sz val="10"/>
      <color rgb="FFFF0000"/>
      <name val="Calibri"/>
      <charset val="1"/>
    </font>
    <font>
      <sz val="10"/>
      <name val="Arial"/>
      <charset val="1"/>
    </font>
    <font>
      <b/>
      <i/>
      <sz val="8"/>
      <name val="Calibri"/>
      <charset val="1"/>
    </font>
    <font>
      <sz val="9"/>
      <name val="Calibri"/>
      <charset val="1"/>
    </font>
    <font>
      <b/>
      <sz val="10"/>
      <color rgb="FFFFFFFF"/>
      <name val="Calibri"/>
      <charset val="1"/>
    </font>
    <font>
      <b/>
      <sz val="10"/>
      <color rgb="FFFF0000"/>
      <name val="Calibri"/>
      <charset val="1"/>
    </font>
    <font>
      <sz val="10"/>
      <color rgb="FFFFFFFF"/>
      <name val="Calibri"/>
      <charset val="1"/>
    </font>
    <font>
      <sz val="10"/>
      <color rgb="FF0066CC"/>
      <name val="Calibri"/>
      <charset val="1"/>
    </font>
    <font>
      <b/>
      <i/>
      <sz val="10"/>
      <name val="Calibri"/>
      <charset val="1"/>
    </font>
    <font>
      <i/>
      <sz val="10"/>
      <name val="Calibri"/>
      <charset val="1"/>
    </font>
    <font>
      <sz val="10"/>
      <color rgb="FFF79646"/>
      <name val="Calibri"/>
      <charset val="1"/>
    </font>
    <font>
      <b/>
      <sz val="10"/>
      <color rgb="FF0070C0"/>
      <name val="Calibri"/>
      <charset val="1"/>
    </font>
    <font>
      <sz val="10"/>
      <color rgb="FF000000"/>
      <name val="Calibri"/>
      <charset val="1"/>
    </font>
    <font>
      <sz val="10"/>
      <color rgb="FF558ED5"/>
      <name val="Calibri"/>
      <charset val="1"/>
    </font>
    <font>
      <b/>
      <sz val="10"/>
      <color rgb="FF000000"/>
      <name val="Calibri"/>
      <charset val="1"/>
    </font>
    <font>
      <sz val="10"/>
      <color rgb="FF008000"/>
      <name val="Calibri"/>
      <charset val="1"/>
    </font>
    <font>
      <sz val="8"/>
      <color rgb="FF000000"/>
      <name val="Calibri"/>
      <charset val="1"/>
    </font>
    <font>
      <sz val="8"/>
      <color rgb="FF0066CC"/>
      <name val="Calibri"/>
      <charset val="1"/>
    </font>
    <font>
      <sz val="8"/>
      <name val="Calibri"/>
      <charset val="1"/>
    </font>
    <font>
      <b/>
      <sz val="8"/>
      <name val="Calibri"/>
      <charset val="1"/>
    </font>
    <font>
      <b/>
      <sz val="11"/>
      <color rgb="FF000000"/>
      <name val="Calibri"/>
      <charset val="1"/>
    </font>
    <font>
      <sz val="11"/>
      <name val="Calibri"/>
      <charset val="1"/>
    </font>
    <font>
      <b/>
      <sz val="11"/>
      <name val="Calibri"/>
      <charset val="1"/>
    </font>
    <font>
      <b/>
      <i/>
      <sz val="9"/>
      <name val="Calibri"/>
      <charset val="1"/>
    </font>
    <font>
      <b/>
      <sz val="8"/>
      <color rgb="FF000000"/>
      <name val="Calibri"/>
      <charset val="1"/>
    </font>
    <font>
      <i/>
      <sz val="8"/>
      <name val="Calibri"/>
      <charset val="1"/>
    </font>
    <font>
      <sz val="10"/>
      <color rgb="FF00B050"/>
      <name val="Calibri"/>
      <charset val="1"/>
    </font>
    <font>
      <sz val="8"/>
      <name val="Arial"/>
      <charset val="1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7E4BD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BFBFBF"/>
      </patternFill>
    </fill>
    <fill>
      <patternFill patternType="solid">
        <fgColor rgb="FF333333"/>
        <bgColor rgb="FF333300"/>
      </patternFill>
    </fill>
    <fill>
      <patternFill patternType="solid">
        <fgColor rgb="FF969696"/>
        <bgColor rgb="FF808080"/>
      </patternFill>
    </fill>
    <fill>
      <patternFill patternType="solid">
        <fgColor rgb="FFBFBFBF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FFFFFF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20" fillId="0" borderId="0" applyBorder="0" applyProtection="0"/>
  </cellStyleXfs>
  <cellXfs count="326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2" fillId="2" borderId="0" xfId="0" applyFont="1" applyFill="1" applyBorder="1" applyAlignment="1"/>
    <xf numFmtId="0" fontId="5" fillId="2" borderId="0" xfId="0" applyFont="1" applyFill="1" applyBorder="1" applyAlignment="1"/>
    <xf numFmtId="0" fontId="10" fillId="2" borderId="0" xfId="0" applyFont="1" applyFill="1" applyBorder="1" applyAlignment="1"/>
    <xf numFmtId="14" fontId="2" fillId="2" borderId="0" xfId="0" applyNumberFormat="1" applyFont="1" applyFill="1" applyBorder="1" applyAlignment="1"/>
    <xf numFmtId="0" fontId="1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6" xfId="0" applyFont="1" applyFill="1" applyBorder="1" applyAlignment="1"/>
    <xf numFmtId="0" fontId="19" fillId="3" borderId="6" xfId="0" applyFont="1" applyFill="1" applyBorder="1" applyAlignment="1"/>
    <xf numFmtId="10" fontId="20" fillId="0" borderId="0" xfId="1" applyNumberFormat="1" applyBorder="1" applyAlignment="1" applyProtection="1"/>
    <xf numFmtId="0" fontId="1" fillId="3" borderId="4" xfId="0" applyFont="1" applyFill="1" applyBorder="1" applyAlignment="1">
      <alignment horizontal="left"/>
    </xf>
    <xf numFmtId="1" fontId="2" fillId="3" borderId="8" xfId="0" applyNumberFormat="1" applyFont="1" applyFill="1" applyBorder="1" applyAlignment="1"/>
    <xf numFmtId="0" fontId="2" fillId="3" borderId="0" xfId="0" applyFont="1" applyFill="1" applyBorder="1" applyAlignment="1"/>
    <xf numFmtId="3" fontId="2" fillId="3" borderId="5" xfId="0" applyNumberFormat="1" applyFont="1" applyFill="1" applyBorder="1" applyAlignment="1"/>
    <xf numFmtId="0" fontId="21" fillId="3" borderId="9" xfId="0" applyFont="1" applyFill="1" applyBorder="1" applyAlignment="1">
      <alignment horizontal="center"/>
    </xf>
    <xf numFmtId="0" fontId="2" fillId="3" borderId="10" xfId="0" applyFont="1" applyFill="1" applyBorder="1" applyAlignment="1"/>
    <xf numFmtId="0" fontId="2" fillId="3" borderId="11" xfId="0" applyFont="1" applyFill="1" applyBorder="1" applyAlignment="1"/>
    <xf numFmtId="0" fontId="17" fillId="0" borderId="0" xfId="0" applyFont="1" applyAlignment="1"/>
    <xf numFmtId="0" fontId="18" fillId="0" borderId="0" xfId="0" applyFont="1" applyAlignment="1"/>
    <xf numFmtId="0" fontId="1" fillId="0" borderId="12" xfId="0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3" fillId="5" borderId="5" xfId="0" applyFont="1" applyFill="1" applyBorder="1" applyAlignment="1"/>
    <xf numFmtId="37" fontId="23" fillId="5" borderId="5" xfId="0" applyNumberFormat="1" applyFont="1" applyFill="1" applyBorder="1" applyAlignment="1">
      <alignment horizontal="center"/>
    </xf>
    <xf numFmtId="3" fontId="23" fillId="5" borderId="5" xfId="0" applyNumberFormat="1" applyFont="1" applyFill="1" applyBorder="1" applyAlignment="1">
      <alignment horizontal="center"/>
    </xf>
    <xf numFmtId="0" fontId="2" fillId="3" borderId="4" xfId="0" applyFont="1" applyFill="1" applyBorder="1" applyAlignment="1"/>
    <xf numFmtId="0" fontId="1" fillId="3" borderId="0" xfId="0" applyFont="1" applyFill="1" applyBorder="1" applyAlignment="1"/>
    <xf numFmtId="165" fontId="2" fillId="3" borderId="6" xfId="0" applyNumberFormat="1" applyFont="1" applyFill="1" applyBorder="1" applyAlignment="1"/>
    <xf numFmtId="0" fontId="24" fillId="3" borderId="0" xfId="0" applyFont="1" applyFill="1" applyBorder="1" applyAlignment="1"/>
    <xf numFmtId="0" fontId="1" fillId="3" borderId="5" xfId="0" applyFont="1" applyFill="1" applyBorder="1" applyAlignment="1"/>
    <xf numFmtId="166" fontId="1" fillId="3" borderId="5" xfId="0" applyNumberFormat="1" applyFont="1" applyFill="1" applyBorder="1" applyAlignment="1">
      <alignment horizontal="center"/>
    </xf>
    <xf numFmtId="165" fontId="2" fillId="3" borderId="0" xfId="0" applyNumberFormat="1" applyFont="1" applyFill="1" applyBorder="1" applyAlignment="1"/>
    <xf numFmtId="0" fontId="2" fillId="0" borderId="15" xfId="0" applyFont="1" applyBorder="1" applyAlignment="1"/>
    <xf numFmtId="0" fontId="1" fillId="3" borderId="4" xfId="0" applyFont="1" applyFill="1" applyBorder="1" applyAlignment="1"/>
    <xf numFmtId="3" fontId="23" fillId="5" borderId="14" xfId="0" applyNumberFormat="1" applyFont="1" applyFill="1" applyBorder="1" applyAlignment="1">
      <alignment horizontal="center"/>
    </xf>
    <xf numFmtId="165" fontId="1" fillId="3" borderId="0" xfId="0" applyNumberFormat="1" applyFont="1" applyFill="1" applyBorder="1" applyAlignment="1"/>
    <xf numFmtId="3" fontId="2" fillId="3" borderId="0" xfId="0" applyNumberFormat="1" applyFont="1" applyFill="1" applyBorder="1" applyAlignment="1"/>
    <xf numFmtId="0" fontId="25" fillId="5" borderId="12" xfId="0" applyFont="1" applyFill="1" applyBorder="1" applyAlignment="1"/>
    <xf numFmtId="1" fontId="25" fillId="5" borderId="12" xfId="0" applyNumberFormat="1" applyFont="1" applyFill="1" applyBorder="1" applyAlignment="1">
      <alignment horizontal="center"/>
    </xf>
    <xf numFmtId="0" fontId="25" fillId="5" borderId="12" xfId="0" applyFont="1" applyFill="1" applyBorder="1" applyAlignment="1">
      <alignment horizontal="center"/>
    </xf>
    <xf numFmtId="0" fontId="25" fillId="5" borderId="5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1" fillId="3" borderId="12" xfId="0" applyFont="1" applyFill="1" applyBorder="1" applyAlignment="1"/>
    <xf numFmtId="165" fontId="2" fillId="0" borderId="0" xfId="0" applyNumberFormat="1" applyFont="1" applyAlignment="1"/>
    <xf numFmtId="167" fontId="1" fillId="6" borderId="5" xfId="0" applyNumberFormat="1" applyFont="1" applyFill="1" applyBorder="1" applyAlignment="1"/>
    <xf numFmtId="0" fontId="1" fillId="3" borderId="6" xfId="0" applyFont="1" applyFill="1" applyBorder="1" applyAlignment="1"/>
    <xf numFmtId="0" fontId="27" fillId="0" borderId="0" xfId="0" applyFont="1" applyAlignment="1"/>
    <xf numFmtId="1" fontId="2" fillId="3" borderId="0" xfId="0" applyNumberFormat="1" applyFont="1" applyFill="1" applyBorder="1" applyAlignment="1"/>
    <xf numFmtId="2" fontId="2" fillId="3" borderId="5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2" fontId="2" fillId="3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/>
    <xf numFmtId="2" fontId="2" fillId="3" borderId="8" xfId="0" applyNumberFormat="1" applyFont="1" applyFill="1" applyBorder="1" applyAlignment="1">
      <alignment horizontal="center"/>
    </xf>
    <xf numFmtId="166" fontId="2" fillId="3" borderId="0" xfId="0" applyNumberFormat="1" applyFont="1" applyFill="1" applyBorder="1" applyAlignment="1">
      <alignment horizontal="center"/>
    </xf>
    <xf numFmtId="0" fontId="28" fillId="3" borderId="9" xfId="0" applyFont="1" applyFill="1" applyBorder="1" applyAlignment="1"/>
    <xf numFmtId="167" fontId="2" fillId="0" borderId="0" xfId="0" applyNumberFormat="1" applyFont="1" applyAlignment="1"/>
    <xf numFmtId="168" fontId="2" fillId="0" borderId="0" xfId="0" applyNumberFormat="1" applyFont="1" applyAlignment="1"/>
    <xf numFmtId="0" fontId="29" fillId="0" borderId="0" xfId="0" applyFont="1" applyAlignment="1"/>
    <xf numFmtId="0" fontId="1" fillId="0" borderId="5" xfId="0" applyFont="1" applyBorder="1" applyAlignment="1">
      <alignment horizontal="center"/>
    </xf>
    <xf numFmtId="168" fontId="1" fillId="0" borderId="5" xfId="0" applyNumberFormat="1" applyFont="1" applyBorder="1" applyAlignment="1"/>
    <xf numFmtId="0" fontId="1" fillId="0" borderId="5" xfId="0" applyFont="1" applyBorder="1" applyAlignment="1">
      <alignment vertical="top"/>
    </xf>
    <xf numFmtId="169" fontId="1" fillId="7" borderId="5" xfId="0" applyNumberFormat="1" applyFont="1" applyFill="1" applyBorder="1" applyAlignment="1">
      <alignment horizontal="right" vertical="top"/>
    </xf>
    <xf numFmtId="0" fontId="2" fillId="0" borderId="17" xfId="0" applyFont="1" applyBorder="1" applyAlignment="1"/>
    <xf numFmtId="0" fontId="2" fillId="0" borderId="5" xfId="0" applyFont="1" applyBorder="1" applyAlignment="1"/>
    <xf numFmtId="168" fontId="2" fillId="0" borderId="5" xfId="0" applyNumberFormat="1" applyFont="1" applyBorder="1" applyAlignment="1">
      <alignment wrapText="1"/>
    </xf>
    <xf numFmtId="0" fontId="1" fillId="3" borderId="4" xfId="0" applyFont="1" applyFill="1" applyBorder="1" applyAlignment="1">
      <alignment vertical="top"/>
    </xf>
    <xf numFmtId="0" fontId="2" fillId="0" borderId="16" xfId="0" applyFont="1" applyBorder="1" applyAlignment="1"/>
    <xf numFmtId="0" fontId="2" fillId="0" borderId="5" xfId="0" applyFont="1" applyBorder="1" applyAlignment="1">
      <alignment horizontal="left" vertical="top"/>
    </xf>
    <xf numFmtId="2" fontId="2" fillId="7" borderId="5" xfId="0" applyNumberFormat="1" applyFont="1" applyFill="1" applyBorder="1" applyAlignment="1">
      <alignment horizontal="right" vertical="top"/>
    </xf>
    <xf numFmtId="0" fontId="28" fillId="0" borderId="0" xfId="0" applyFont="1" applyAlignment="1"/>
    <xf numFmtId="0" fontId="28" fillId="0" borderId="16" xfId="0" applyFont="1" applyBorder="1" applyAlignment="1"/>
    <xf numFmtId="0" fontId="28" fillId="0" borderId="17" xfId="0" applyFont="1" applyBorder="1" applyAlignment="1"/>
    <xf numFmtId="168" fontId="1" fillId="7" borderId="5" xfId="0" applyNumberFormat="1" applyFont="1" applyFill="1" applyBorder="1" applyAlignment="1">
      <alignment horizontal="right" vertical="top"/>
    </xf>
    <xf numFmtId="170" fontId="2" fillId="0" borderId="16" xfId="0" applyNumberFormat="1" applyFont="1" applyBorder="1" applyAlignment="1"/>
    <xf numFmtId="171" fontId="2" fillId="0" borderId="16" xfId="0" applyNumberFormat="1" applyFont="1" applyBorder="1" applyAlignment="1"/>
    <xf numFmtId="0" fontId="31" fillId="3" borderId="4" xfId="0" applyFont="1" applyFill="1" applyBorder="1" applyAlignment="1">
      <alignment horizontal="left" vertical="top" wrapText="1"/>
    </xf>
    <xf numFmtId="172" fontId="2" fillId="7" borderId="5" xfId="0" applyNumberFormat="1" applyFont="1" applyFill="1" applyBorder="1" applyAlignment="1">
      <alignment horizontal="right" vertical="top"/>
    </xf>
    <xf numFmtId="168" fontId="2" fillId="0" borderId="5" xfId="0" applyNumberFormat="1" applyFont="1" applyBorder="1" applyAlignment="1"/>
    <xf numFmtId="168" fontId="2" fillId="0" borderId="16" xfId="0" applyNumberFormat="1" applyFont="1" applyBorder="1" applyAlignment="1"/>
    <xf numFmtId="173" fontId="2" fillId="7" borderId="5" xfId="0" applyNumberFormat="1" applyFont="1" applyFill="1" applyBorder="1" applyAlignment="1">
      <alignment horizontal="right" vertical="top"/>
    </xf>
    <xf numFmtId="172" fontId="1" fillId="7" borderId="5" xfId="0" applyNumberFormat="1" applyFont="1" applyFill="1" applyBorder="1" applyAlignment="1">
      <alignment horizontal="right" vertical="top"/>
    </xf>
    <xf numFmtId="174" fontId="2" fillId="0" borderId="16" xfId="0" applyNumberFormat="1" applyFont="1" applyBorder="1" applyAlignment="1"/>
    <xf numFmtId="173" fontId="1" fillId="7" borderId="5" xfId="0" applyNumberFormat="1" applyFont="1" applyFill="1" applyBorder="1" applyAlignment="1">
      <alignment horizontal="right" vertical="top"/>
    </xf>
    <xf numFmtId="2" fontId="33" fillId="7" borderId="5" xfId="0" applyNumberFormat="1" applyFont="1" applyFill="1" applyBorder="1" applyAlignment="1">
      <alignment horizontal="right" vertical="top"/>
    </xf>
    <xf numFmtId="173" fontId="2" fillId="0" borderId="0" xfId="0" applyNumberFormat="1" applyFont="1" applyAlignment="1">
      <alignment horizontal="right"/>
    </xf>
    <xf numFmtId="169" fontId="34" fillId="0" borderId="0" xfId="0" applyNumberFormat="1" applyFont="1" applyAlignment="1">
      <alignment horizontal="right"/>
    </xf>
    <xf numFmtId="0" fontId="2" fillId="0" borderId="5" xfId="0" applyFont="1" applyBorder="1" applyAlignment="1">
      <alignment vertical="center"/>
    </xf>
    <xf numFmtId="9" fontId="2" fillId="7" borderId="5" xfId="0" applyNumberFormat="1" applyFont="1" applyFill="1" applyBorder="1" applyAlignment="1"/>
    <xf numFmtId="10" fontId="2" fillId="7" borderId="5" xfId="0" applyNumberFormat="1" applyFont="1" applyFill="1" applyBorder="1" applyAlignment="1"/>
    <xf numFmtId="10" fontId="18" fillId="0" borderId="0" xfId="0" applyNumberFormat="1" applyFont="1" applyAlignment="1">
      <alignment horizontal="right"/>
    </xf>
    <xf numFmtId="173" fontId="32" fillId="0" borderId="5" xfId="0" applyNumberFormat="1" applyFont="1" applyBorder="1" applyAlignment="1"/>
    <xf numFmtId="0" fontId="1" fillId="0" borderId="5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72" fontId="18" fillId="0" borderId="0" xfId="0" applyNumberFormat="1" applyFont="1" applyAlignment="1"/>
    <xf numFmtId="175" fontId="2" fillId="0" borderId="0" xfId="0" applyNumberFormat="1" applyFont="1" applyAlignment="1"/>
    <xf numFmtId="172" fontId="2" fillId="0" borderId="0" xfId="0" applyNumberFormat="1" applyFont="1" applyAlignment="1"/>
    <xf numFmtId="172" fontId="18" fillId="0" borderId="10" xfId="0" applyNumberFormat="1" applyFont="1" applyBorder="1" applyAlignment="1"/>
    <xf numFmtId="0" fontId="17" fillId="3" borderId="1" xfId="0" applyFont="1" applyFill="1" applyBorder="1" applyAlignment="1"/>
    <xf numFmtId="0" fontId="2" fillId="3" borderId="2" xfId="0" applyFont="1" applyFill="1" applyBorder="1" applyAlignment="1"/>
    <xf numFmtId="0" fontId="35" fillId="3" borderId="13" xfId="0" applyFont="1" applyFill="1" applyBorder="1" applyAlignment="1"/>
    <xf numFmtId="165" fontId="17" fillId="3" borderId="4" xfId="0" applyNumberFormat="1" applyFont="1" applyFill="1" applyBorder="1" applyAlignment="1"/>
    <xf numFmtId="0" fontId="37" fillId="3" borderId="13" xfId="0" applyFont="1" applyFill="1" applyBorder="1" applyAlignment="1"/>
    <xf numFmtId="0" fontId="2" fillId="3" borderId="4" xfId="0" applyFont="1" applyFill="1" applyBorder="1" applyAlignment="1">
      <alignment horizontal="center"/>
    </xf>
    <xf numFmtId="0" fontId="38" fillId="3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4" borderId="5" xfId="0" applyNumberFormat="1" applyFont="1" applyFill="1" applyBorder="1" applyAlignment="1">
      <alignment horizontal="center" vertical="center" wrapText="1"/>
    </xf>
    <xf numFmtId="0" fontId="37" fillId="3" borderId="13" xfId="0" applyFont="1" applyFill="1" applyBorder="1" applyAlignment="1">
      <alignment horizontal="center" wrapText="1"/>
    </xf>
    <xf numFmtId="0" fontId="27" fillId="3" borderId="4" xfId="0" applyFont="1" applyFill="1" applyBorder="1" applyAlignment="1">
      <alignment horizontal="right"/>
    </xf>
    <xf numFmtId="165" fontId="2" fillId="3" borderId="13" xfId="0" applyNumberFormat="1" applyFont="1" applyFill="1" applyBorder="1" applyAlignment="1">
      <alignment horizontal="center" vertical="center" wrapText="1"/>
    </xf>
    <xf numFmtId="1" fontId="2" fillId="4" borderId="5" xfId="0" applyNumberFormat="1" applyFont="1" applyFill="1" applyBorder="1" applyAlignment="1">
      <alignment horizontal="center" vertical="center" wrapText="1"/>
    </xf>
    <xf numFmtId="37" fontId="2" fillId="4" borderId="5" xfId="0" applyNumberFormat="1" applyFont="1" applyFill="1" applyBorder="1" applyAlignment="1">
      <alignment horizontal="center" vertical="center" wrapText="1"/>
    </xf>
    <xf numFmtId="165" fontId="2" fillId="4" borderId="13" xfId="0" applyNumberFormat="1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left" wrapText="1"/>
    </xf>
    <xf numFmtId="172" fontId="26" fillId="3" borderId="5" xfId="0" applyNumberFormat="1" applyFont="1" applyFill="1" applyBorder="1" applyAlignment="1"/>
    <xf numFmtId="172" fontId="18" fillId="3" borderId="5" xfId="0" applyNumberFormat="1" applyFont="1" applyFill="1" applyBorder="1" applyAlignment="1"/>
    <xf numFmtId="172" fontId="2" fillId="4" borderId="5" xfId="0" applyNumberFormat="1" applyFont="1" applyFill="1" applyBorder="1" applyAlignment="1"/>
    <xf numFmtId="0" fontId="37" fillId="3" borderId="13" xfId="0" applyFont="1" applyFill="1" applyBorder="1" applyAlignment="1">
      <alignment horizontal="left" wrapText="1"/>
    </xf>
    <xf numFmtId="172" fontId="2" fillId="3" borderId="5" xfId="0" applyNumberFormat="1" applyFont="1" applyFill="1" applyBorder="1" applyAlignment="1"/>
    <xf numFmtId="0" fontId="37" fillId="3" borderId="13" xfId="0" applyFont="1" applyFill="1" applyBorder="1" applyAlignment="1">
      <alignment wrapText="1"/>
    </xf>
    <xf numFmtId="0" fontId="2" fillId="3" borderId="4" xfId="0" applyFont="1" applyFill="1" applyBorder="1" applyAlignment="1">
      <alignment horizontal="left" wrapText="1"/>
    </xf>
    <xf numFmtId="172" fontId="2" fillId="3" borderId="14" xfId="0" applyNumberFormat="1" applyFont="1" applyFill="1" applyBorder="1" applyAlignment="1"/>
    <xf numFmtId="0" fontId="33" fillId="7" borderId="5" xfId="0" applyFont="1" applyFill="1" applyBorder="1" applyAlignment="1">
      <alignment wrapText="1"/>
    </xf>
    <xf numFmtId="172" fontId="2" fillId="7" borderId="5" xfId="0" applyNumberFormat="1" applyFont="1" applyFill="1" applyBorder="1" applyAlignment="1"/>
    <xf numFmtId="0" fontId="31" fillId="3" borderId="4" xfId="0" applyFont="1" applyFill="1" applyBorder="1" applyAlignment="1">
      <alignment wrapText="1"/>
    </xf>
    <xf numFmtId="172" fontId="2" fillId="3" borderId="13" xfId="0" applyNumberFormat="1" applyFont="1" applyFill="1" applyBorder="1" applyAlignment="1"/>
    <xf numFmtId="172" fontId="2" fillId="4" borderId="13" xfId="0" applyNumberFormat="1" applyFont="1" applyFill="1" applyBorder="1" applyAlignment="1"/>
    <xf numFmtId="0" fontId="33" fillId="3" borderId="4" xfId="0" applyFont="1" applyFill="1" applyBorder="1" applyAlignment="1">
      <alignment wrapText="1"/>
    </xf>
    <xf numFmtId="172" fontId="34" fillId="3" borderId="5" xfId="0" applyNumberFormat="1" applyFont="1" applyFill="1" applyBorder="1" applyAlignment="1"/>
    <xf numFmtId="172" fontId="18" fillId="0" borderId="5" xfId="0" applyNumberFormat="1" applyFont="1" applyBorder="1" applyAlignment="1"/>
    <xf numFmtId="172" fontId="26" fillId="3" borderId="13" xfId="0" applyNumberFormat="1" applyFont="1" applyFill="1" applyBorder="1" applyAlignment="1"/>
    <xf numFmtId="172" fontId="18" fillId="3" borderId="13" xfId="0" applyNumberFormat="1" applyFont="1" applyFill="1" applyBorder="1" applyAlignment="1"/>
    <xf numFmtId="0" fontId="1" fillId="7" borderId="5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172" fontId="2" fillId="3" borderId="6" xfId="0" applyNumberFormat="1" applyFont="1" applyFill="1" applyBorder="1" applyAlignment="1"/>
    <xf numFmtId="172" fontId="2" fillId="3" borderId="4" xfId="0" applyNumberFormat="1" applyFont="1" applyFill="1" applyBorder="1" applyAlignment="1"/>
    <xf numFmtId="169" fontId="2" fillId="7" borderId="5" xfId="0" applyNumberFormat="1" applyFont="1" applyFill="1" applyBorder="1" applyAlignment="1"/>
    <xf numFmtId="167" fontId="2" fillId="3" borderId="6" xfId="0" applyNumberFormat="1" applyFont="1" applyFill="1" applyBorder="1" applyAlignment="1"/>
    <xf numFmtId="0" fontId="2" fillId="3" borderId="4" xfId="0" applyFont="1" applyFill="1" applyBorder="1" applyAlignment="1">
      <alignment horizontal="left"/>
    </xf>
    <xf numFmtId="9" fontId="2" fillId="3" borderId="6" xfId="0" applyNumberFormat="1" applyFont="1" applyFill="1" applyBorder="1" applyAlignment="1">
      <alignment horizontal="center"/>
    </xf>
    <xf numFmtId="0" fontId="2" fillId="3" borderId="9" xfId="0" applyFont="1" applyFill="1" applyBorder="1" applyAlignment="1"/>
    <xf numFmtId="0" fontId="37" fillId="0" borderId="8" xfId="0" applyFont="1" applyBorder="1" applyAlignment="1"/>
    <xf numFmtId="0" fontId="19" fillId="0" borderId="0" xfId="0" applyFont="1" applyAlignment="1"/>
    <xf numFmtId="0" fontId="37" fillId="3" borderId="13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165" fontId="37" fillId="3" borderId="5" xfId="0" applyNumberFormat="1" applyFont="1" applyFill="1" applyBorder="1" applyAlignment="1">
      <alignment horizontal="center" vertical="center" wrapText="1"/>
    </xf>
    <xf numFmtId="166" fontId="2" fillId="4" borderId="5" xfId="0" applyNumberFormat="1" applyFont="1" applyFill="1" applyBorder="1" applyAlignment="1">
      <alignment horizontal="center" vertical="center" wrapText="1"/>
    </xf>
    <xf numFmtId="165" fontId="37" fillId="3" borderId="13" xfId="0" applyNumberFormat="1" applyFont="1" applyFill="1" applyBorder="1" applyAlignment="1">
      <alignment horizontal="center" vertical="center" wrapText="1"/>
    </xf>
    <xf numFmtId="176" fontId="2" fillId="4" borderId="5" xfId="0" applyNumberFormat="1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left" wrapText="1"/>
    </xf>
    <xf numFmtId="172" fontId="2" fillId="3" borderId="8" xfId="0" applyNumberFormat="1" applyFont="1" applyFill="1" applyBorder="1" applyAlignment="1"/>
    <xf numFmtId="172" fontId="2" fillId="4" borderId="8" xfId="0" applyNumberFormat="1" applyFont="1" applyFill="1" applyBorder="1" applyAlignment="1"/>
    <xf numFmtId="175" fontId="2" fillId="3" borderId="5" xfId="0" applyNumberFormat="1" applyFont="1" applyFill="1" applyBorder="1" applyAlignment="1"/>
    <xf numFmtId="172" fontId="26" fillId="3" borderId="0" xfId="0" applyNumberFormat="1" applyFont="1" applyFill="1" applyBorder="1" applyAlignment="1"/>
    <xf numFmtId="0" fontId="33" fillId="3" borderId="13" xfId="0" applyFont="1" applyFill="1" applyBorder="1" applyAlignment="1">
      <alignment wrapText="1"/>
    </xf>
    <xf numFmtId="167" fontId="2" fillId="7" borderId="5" xfId="0" applyNumberFormat="1" applyFont="1" applyFill="1" applyBorder="1" applyAlignment="1"/>
    <xf numFmtId="0" fontId="39" fillId="3" borderId="4" xfId="0" applyFont="1" applyFill="1" applyBorder="1" applyAlignment="1"/>
    <xf numFmtId="167" fontId="40" fillId="3" borderId="0" xfId="0" applyNumberFormat="1" applyFont="1" applyFill="1" applyBorder="1" applyAlignment="1"/>
    <xf numFmtId="167" fontId="41" fillId="3" borderId="6" xfId="0" applyNumberFormat="1" applyFont="1" applyFill="1" applyBorder="1" applyAlignment="1"/>
    <xf numFmtId="0" fontId="2" fillId="0" borderId="4" xfId="0" applyFont="1" applyBorder="1" applyAlignment="1">
      <alignment horizontal="left"/>
    </xf>
    <xf numFmtId="172" fontId="34" fillId="3" borderId="14" xfId="0" applyNumberFormat="1" applyFont="1" applyFill="1" applyBorder="1" applyAlignment="1"/>
    <xf numFmtId="0" fontId="33" fillId="7" borderId="5" xfId="0" applyFont="1" applyFill="1" applyBorder="1" applyAlignment="1"/>
    <xf numFmtId="0" fontId="31" fillId="3" borderId="4" xfId="0" applyFont="1" applyFill="1" applyBorder="1" applyAlignment="1"/>
    <xf numFmtId="0" fontId="33" fillId="3" borderId="4" xfId="0" applyFont="1" applyFill="1" applyBorder="1" applyAlignment="1"/>
    <xf numFmtId="172" fontId="26" fillId="0" borderId="0" xfId="0" applyNumberFormat="1" applyFont="1" applyAlignment="1"/>
    <xf numFmtId="175" fontId="2" fillId="3" borderId="13" xfId="0" applyNumberFormat="1" applyFont="1" applyFill="1" applyBorder="1" applyAlignment="1"/>
    <xf numFmtId="165" fontId="2" fillId="7" borderId="5" xfId="0" applyNumberFormat="1" applyFont="1" applyFill="1" applyBorder="1" applyAlignment="1">
      <alignment horizontal="center" vertical="center" wrapText="1"/>
    </xf>
    <xf numFmtId="166" fontId="2" fillId="7" borderId="5" xfId="0" applyNumberFormat="1" applyFont="1" applyFill="1" applyBorder="1" applyAlignment="1">
      <alignment horizontal="center" vertical="center" wrapText="1"/>
    </xf>
    <xf numFmtId="176" fontId="2" fillId="7" borderId="5" xfId="0" applyNumberFormat="1" applyFont="1" applyFill="1" applyBorder="1" applyAlignment="1">
      <alignment horizontal="center" vertical="center" wrapText="1"/>
    </xf>
    <xf numFmtId="165" fontId="2" fillId="7" borderId="13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wrapText="1"/>
    </xf>
    <xf numFmtId="172" fontId="2" fillId="7" borderId="13" xfId="0" applyNumberFormat="1" applyFont="1" applyFill="1" applyBorder="1" applyAlignment="1"/>
    <xf numFmtId="0" fontId="37" fillId="3" borderId="8" xfId="0" applyFont="1" applyFill="1" applyBorder="1" applyAlignment="1"/>
    <xf numFmtId="0" fontId="1" fillId="7" borderId="5" xfId="0" applyFont="1" applyFill="1" applyBorder="1" applyAlignment="1"/>
    <xf numFmtId="0" fontId="31" fillId="3" borderId="4" xfId="0" applyFont="1" applyFill="1" applyBorder="1" applyAlignment="1">
      <alignment horizontal="left"/>
    </xf>
    <xf numFmtId="172" fontId="26" fillId="3" borderId="14" xfId="0" applyNumberFormat="1" applyFont="1" applyFill="1" applyBorder="1" applyAlignment="1"/>
    <xf numFmtId="169" fontId="2" fillId="0" borderId="0" xfId="0" applyNumberFormat="1" applyFont="1" applyAlignment="1"/>
    <xf numFmtId="172" fontId="34" fillId="3" borderId="13" xfId="0" applyNumberFormat="1" applyFont="1" applyFill="1" applyBorder="1" applyAlignment="1"/>
    <xf numFmtId="172" fontId="34" fillId="3" borderId="0" xfId="0" applyNumberFormat="1" applyFont="1" applyFill="1" applyBorder="1" applyAlignment="1"/>
    <xf numFmtId="0" fontId="17" fillId="3" borderId="18" xfId="0" applyFont="1" applyFill="1" applyBorder="1" applyAlignment="1"/>
    <xf numFmtId="0" fontId="2" fillId="3" borderId="19" xfId="0" applyFont="1" applyFill="1" applyBorder="1" applyAlignment="1"/>
    <xf numFmtId="0" fontId="2" fillId="3" borderId="20" xfId="0" applyFont="1" applyFill="1" applyBorder="1" applyAlignment="1"/>
    <xf numFmtId="0" fontId="17" fillId="3" borderId="21" xfId="0" applyFont="1" applyFill="1" applyBorder="1" applyAlignment="1"/>
    <xf numFmtId="0" fontId="2" fillId="3" borderId="22" xfId="0" applyFont="1" applyFill="1" applyBorder="1" applyAlignment="1"/>
    <xf numFmtId="0" fontId="38" fillId="3" borderId="21" xfId="0" applyFont="1" applyFill="1" applyBorder="1" applyAlignment="1">
      <alignment horizontal="left"/>
    </xf>
    <xf numFmtId="165" fontId="37" fillId="4" borderId="5" xfId="0" applyNumberFormat="1" applyFont="1" applyFill="1" applyBorder="1" applyAlignment="1">
      <alignment horizontal="center" vertical="center" wrapText="1"/>
    </xf>
    <xf numFmtId="0" fontId="37" fillId="3" borderId="22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42" fillId="3" borderId="21" xfId="0" applyFont="1" applyFill="1" applyBorder="1" applyAlignment="1">
      <alignment horizontal="right"/>
    </xf>
    <xf numFmtId="37" fontId="37" fillId="4" borderId="5" xfId="0" applyNumberFormat="1" applyFont="1" applyFill="1" applyBorder="1" applyAlignment="1">
      <alignment horizontal="center" vertical="center" wrapText="1"/>
    </xf>
    <xf numFmtId="165" fontId="37" fillId="3" borderId="14" xfId="0" applyNumberFormat="1" applyFont="1" applyFill="1" applyBorder="1" applyAlignment="1">
      <alignment horizontal="center" vertical="center" wrapText="1"/>
    </xf>
    <xf numFmtId="0" fontId="35" fillId="3" borderId="21" xfId="0" applyFont="1" applyFill="1" applyBorder="1" applyAlignment="1">
      <alignment horizontal="left" wrapText="1"/>
    </xf>
    <xf numFmtId="167" fontId="37" fillId="3" borderId="13" xfId="0" applyNumberFormat="1" applyFont="1" applyFill="1" applyBorder="1" applyAlignment="1"/>
    <xf numFmtId="0" fontId="37" fillId="3" borderId="22" xfId="0" applyFont="1" applyFill="1" applyBorder="1" applyAlignment="1"/>
    <xf numFmtId="0" fontId="37" fillId="0" borderId="0" xfId="0" applyFont="1" applyAlignment="1"/>
    <xf numFmtId="172" fontId="37" fillId="3" borderId="13" xfId="0" applyNumberFormat="1" applyFont="1" applyFill="1" applyBorder="1" applyAlignment="1"/>
    <xf numFmtId="0" fontId="37" fillId="3" borderId="21" xfId="0" applyFont="1" applyFill="1" applyBorder="1" applyAlignment="1">
      <alignment horizontal="left" wrapText="1"/>
    </xf>
    <xf numFmtId="172" fontId="37" fillId="3" borderId="6" xfId="0" applyNumberFormat="1" applyFont="1" applyFill="1" applyBorder="1" applyAlignment="1"/>
    <xf numFmtId="172" fontId="37" fillId="3" borderId="23" xfId="0" applyNumberFormat="1" applyFont="1" applyFill="1" applyBorder="1" applyAlignment="1"/>
    <xf numFmtId="0" fontId="43" fillId="3" borderId="21" xfId="0" applyFont="1" applyFill="1" applyBorder="1" applyAlignment="1"/>
    <xf numFmtId="0" fontId="35" fillId="3" borderId="21" xfId="0" applyFont="1" applyFill="1" applyBorder="1" applyAlignment="1"/>
    <xf numFmtId="0" fontId="35" fillId="3" borderId="21" xfId="0" applyFont="1" applyFill="1" applyBorder="1" applyAlignment="1">
      <alignment horizontal="left"/>
    </xf>
    <xf numFmtId="169" fontId="37" fillId="3" borderId="13" xfId="0" applyNumberFormat="1" applyFont="1" applyFill="1" applyBorder="1" applyAlignment="1"/>
    <xf numFmtId="9" fontId="20" fillId="0" borderId="0" xfId="1" applyBorder="1" applyAlignment="1" applyProtection="1"/>
    <xf numFmtId="0" fontId="37" fillId="3" borderId="21" xfId="0" applyFont="1" applyFill="1" applyBorder="1" applyAlignment="1">
      <alignment horizontal="left"/>
    </xf>
    <xf numFmtId="167" fontId="37" fillId="3" borderId="24" xfId="0" applyNumberFormat="1" applyFont="1" applyFill="1" applyBorder="1" applyAlignment="1"/>
    <xf numFmtId="0" fontId="37" fillId="3" borderId="21" xfId="0" applyFont="1" applyFill="1" applyBorder="1" applyAlignment="1"/>
    <xf numFmtId="0" fontId="38" fillId="3" borderId="21" xfId="0" applyFont="1" applyFill="1" applyBorder="1" applyAlignment="1"/>
    <xf numFmtId="167" fontId="37" fillId="3" borderId="25" xfId="0" applyNumberFormat="1" applyFont="1" applyFill="1" applyBorder="1" applyAlignment="1"/>
    <xf numFmtId="0" fontId="2" fillId="3" borderId="21" xfId="0" applyFont="1" applyFill="1" applyBorder="1" applyAlignment="1"/>
    <xf numFmtId="0" fontId="44" fillId="3" borderId="0" xfId="0" applyFont="1" applyFill="1" applyBorder="1" applyAlignment="1"/>
    <xf numFmtId="167" fontId="37" fillId="3" borderId="0" xfId="0" applyNumberFormat="1" applyFont="1" applyFill="1" applyBorder="1" applyAlignment="1"/>
    <xf numFmtId="0" fontId="37" fillId="3" borderId="0" xfId="0" applyFont="1" applyFill="1" applyBorder="1" applyAlignment="1"/>
    <xf numFmtId="172" fontId="37" fillId="3" borderId="0" xfId="0" applyNumberFormat="1" applyFont="1" applyFill="1" applyBorder="1" applyAlignment="1"/>
    <xf numFmtId="0" fontId="37" fillId="0" borderId="26" xfId="0" applyFont="1" applyBorder="1" applyAlignment="1">
      <alignment horizontal="left"/>
    </xf>
    <xf numFmtId="9" fontId="37" fillId="3" borderId="27" xfId="0" applyNumberFormat="1" applyFont="1" applyFill="1" applyBorder="1" applyAlignment="1">
      <alignment horizontal="center"/>
    </xf>
    <xf numFmtId="0" fontId="37" fillId="3" borderId="28" xfId="0" applyFont="1" applyFill="1" applyBorder="1" applyAlignment="1"/>
    <xf numFmtId="0" fontId="1" fillId="7" borderId="18" xfId="0" applyFont="1" applyFill="1" applyBorder="1" applyAlignment="1"/>
    <xf numFmtId="167" fontId="1" fillId="7" borderId="19" xfId="0" applyNumberFormat="1" applyFont="1" applyFill="1" applyBorder="1" applyAlignment="1"/>
    <xf numFmtId="0" fontId="2" fillId="7" borderId="20" xfId="0" applyFont="1" applyFill="1" applyBorder="1" applyAlignment="1"/>
    <xf numFmtId="0" fontId="27" fillId="7" borderId="21" xfId="0" applyFont="1" applyFill="1" applyBorder="1" applyAlignment="1"/>
    <xf numFmtId="9" fontId="27" fillId="7" borderId="0" xfId="0" applyNumberFormat="1" applyFont="1" applyFill="1" applyBorder="1" applyAlignment="1">
      <alignment horizontal="center"/>
    </xf>
    <xf numFmtId="0" fontId="28" fillId="7" borderId="22" xfId="0" applyFont="1" applyFill="1" applyBorder="1" applyAlignment="1"/>
    <xf numFmtId="0" fontId="1" fillId="7" borderId="21" xfId="0" applyFont="1" applyFill="1" applyBorder="1" applyAlignment="1"/>
    <xf numFmtId="0" fontId="1" fillId="7" borderId="0" xfId="0" applyFont="1" applyFill="1" applyBorder="1" applyAlignment="1"/>
    <xf numFmtId="0" fontId="2" fillId="7" borderId="22" xfId="0" applyFont="1" applyFill="1" applyBorder="1" applyAlignment="1"/>
    <xf numFmtId="167" fontId="1" fillId="7" borderId="0" xfId="0" applyNumberFormat="1" applyFont="1" applyFill="1" applyBorder="1" applyAlignment="1"/>
    <xf numFmtId="0" fontId="2" fillId="7" borderId="26" xfId="0" applyFont="1" applyFill="1" applyBorder="1" applyAlignment="1"/>
    <xf numFmtId="0" fontId="2" fillId="7" borderId="27" xfId="0" applyFont="1" applyFill="1" applyBorder="1" applyAlignment="1"/>
    <xf numFmtId="0" fontId="2" fillId="7" borderId="28" xfId="0" applyFont="1" applyFill="1" applyBorder="1" applyAlignment="1"/>
    <xf numFmtId="9" fontId="2" fillId="0" borderId="0" xfId="0" applyNumberFormat="1" applyFont="1" applyAlignment="1">
      <alignment horizontal="center"/>
    </xf>
    <xf numFmtId="169" fontId="1" fillId="0" borderId="0" xfId="0" applyNumberFormat="1" applyFont="1" applyAlignment="1"/>
    <xf numFmtId="0" fontId="27" fillId="0" borderId="0" xfId="0" applyFont="1" applyAlignment="1">
      <alignment horizontal="left"/>
    </xf>
    <xf numFmtId="9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1" fillId="3" borderId="21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center"/>
    </xf>
    <xf numFmtId="0" fontId="27" fillId="3" borderId="21" xfId="0" applyFont="1" applyFill="1" applyBorder="1" applyAlignment="1">
      <alignment horizontal="right"/>
    </xf>
    <xf numFmtId="0" fontId="2" fillId="3" borderId="29" xfId="0" applyFont="1" applyFill="1" applyBorder="1" applyAlignment="1">
      <alignment horizontal="left"/>
    </xf>
    <xf numFmtId="172" fontId="2" fillId="3" borderId="23" xfId="0" applyNumberFormat="1" applyFont="1" applyFill="1" applyBorder="1" applyAlignment="1"/>
    <xf numFmtId="0" fontId="1" fillId="3" borderId="29" xfId="0" applyFont="1" applyFill="1" applyBorder="1" applyAlignment="1"/>
    <xf numFmtId="167" fontId="2" fillId="3" borderId="13" xfId="0" applyNumberFormat="1" applyFont="1" applyFill="1" applyBorder="1" applyAlignment="1"/>
    <xf numFmtId="0" fontId="2" fillId="3" borderId="29" xfId="0" applyFont="1" applyFill="1" applyBorder="1" applyAlignment="1"/>
    <xf numFmtId="167" fontId="2" fillId="3" borderId="30" xfId="0" applyNumberFormat="1" applyFont="1" applyFill="1" applyBorder="1" applyAlignment="1"/>
    <xf numFmtId="167" fontId="2" fillId="3" borderId="24" xfId="0" applyNumberFormat="1" applyFont="1" applyFill="1" applyBorder="1" applyAlignment="1"/>
    <xf numFmtId="0" fontId="2" fillId="3" borderId="21" xfId="0" applyFont="1" applyFill="1" applyBorder="1" applyAlignment="1">
      <alignment horizontal="left"/>
    </xf>
    <xf numFmtId="0" fontId="1" fillId="3" borderId="21" xfId="0" applyFont="1" applyFill="1" applyBorder="1" applyAlignment="1"/>
    <xf numFmtId="167" fontId="2" fillId="4" borderId="25" xfId="0" applyNumberFormat="1" applyFont="1" applyFill="1" applyBorder="1" applyAlignment="1"/>
    <xf numFmtId="167" fontId="2" fillId="3" borderId="0" xfId="0" applyNumberFormat="1" applyFont="1" applyFill="1" applyBorder="1" applyAlignment="1"/>
    <xf numFmtId="172" fontId="2" fillId="3" borderId="0" xfId="0" applyNumberFormat="1" applyFont="1" applyFill="1" applyBorder="1" applyAlignment="1"/>
    <xf numFmtId="0" fontId="2" fillId="0" borderId="26" xfId="0" applyFont="1" applyBorder="1" applyAlignment="1">
      <alignment horizontal="left"/>
    </xf>
    <xf numFmtId="9" fontId="2" fillId="3" borderId="27" xfId="0" applyNumberFormat="1" applyFont="1" applyFill="1" applyBorder="1" applyAlignment="1">
      <alignment horizontal="center"/>
    </xf>
    <xf numFmtId="0" fontId="2" fillId="3" borderId="28" xfId="0" applyFont="1" applyFill="1" applyBorder="1" applyAlignment="1"/>
    <xf numFmtId="172" fontId="2" fillId="0" borderId="5" xfId="0" applyNumberFormat="1" applyFont="1" applyBorder="1" applyAlignment="1">
      <alignment horizontal="center"/>
    </xf>
    <xf numFmtId="0" fontId="45" fillId="0" borderId="0" xfId="0" applyFont="1" applyAlignment="1"/>
    <xf numFmtId="172" fontId="1" fillId="0" borderId="0" xfId="0" applyNumberFormat="1" applyFont="1" applyAlignment="1"/>
    <xf numFmtId="172" fontId="18" fillId="8" borderId="0" xfId="0" applyNumberFormat="1" applyFont="1" applyFill="1" applyAlignment="1"/>
    <xf numFmtId="0" fontId="2" fillId="8" borderId="16" xfId="0" applyFont="1" applyFill="1" applyBorder="1" applyAlignment="1">
      <alignment wrapText="1"/>
    </xf>
    <xf numFmtId="2" fontId="18" fillId="9" borderId="5" xfId="0" applyNumberFormat="1" applyFont="1" applyFill="1" applyBorder="1" applyAlignment="1">
      <alignment horizontal="right" vertical="top"/>
    </xf>
    <xf numFmtId="2" fontId="32" fillId="8" borderId="5" xfId="0" applyNumberFormat="1" applyFont="1" applyFill="1" applyBorder="1" applyAlignment="1">
      <alignment horizontal="right" vertical="top"/>
    </xf>
    <xf numFmtId="10" fontId="32" fillId="8" borderId="5" xfId="0" applyNumberFormat="1" applyFont="1" applyFill="1" applyBorder="1" applyAlignment="1">
      <alignment horizontal="right" vertical="top"/>
    </xf>
    <xf numFmtId="10" fontId="18" fillId="9" borderId="5" xfId="0" applyNumberFormat="1" applyFont="1" applyFill="1" applyBorder="1" applyAlignment="1">
      <alignment horizontal="right" vertical="top"/>
    </xf>
    <xf numFmtId="9" fontId="26" fillId="9" borderId="0" xfId="0" applyNumberFormat="1" applyFont="1" applyFill="1" applyBorder="1" applyAlignment="1">
      <alignment horizontal="center"/>
    </xf>
    <xf numFmtId="0" fontId="18" fillId="9" borderId="13" xfId="0" applyFont="1" applyFill="1" applyBorder="1" applyAlignment="1"/>
    <xf numFmtId="166" fontId="18" fillId="9" borderId="4" xfId="0" applyNumberFormat="1" applyFont="1" applyFill="1" applyBorder="1" applyAlignment="1">
      <alignment horizontal="center"/>
    </xf>
    <xf numFmtId="166" fontId="18" fillId="9" borderId="14" xfId="0" applyNumberFormat="1" applyFont="1" applyFill="1" applyBorder="1" applyAlignment="1">
      <alignment horizontal="center"/>
    </xf>
    <xf numFmtId="166" fontId="18" fillId="9" borderId="13" xfId="0" applyNumberFormat="1" applyFont="1" applyFill="1" applyBorder="1" applyAlignment="1">
      <alignment horizontal="center"/>
    </xf>
    <xf numFmtId="0" fontId="18" fillId="9" borderId="4" xfId="0" applyFont="1" applyFill="1" applyBorder="1" applyAlignment="1"/>
    <xf numFmtId="0" fontId="2" fillId="8" borderId="0" xfId="0" applyFont="1" applyFill="1" applyAlignment="1"/>
    <xf numFmtId="166" fontId="18" fillId="9" borderId="0" xfId="0" applyNumberFormat="1" applyFont="1" applyFill="1" applyBorder="1" applyAlignment="1">
      <alignment horizontal="center"/>
    </xf>
    <xf numFmtId="0" fontId="18" fillId="9" borderId="13" xfId="0" applyFont="1" applyFill="1" applyBorder="1" applyAlignment="1">
      <alignment horizontal="left"/>
    </xf>
    <xf numFmtId="2" fontId="18" fillId="9" borderId="4" xfId="0" applyNumberFormat="1" applyFont="1" applyFill="1" applyBorder="1" applyAlignment="1">
      <alignment horizontal="center"/>
    </xf>
    <xf numFmtId="2" fontId="18" fillId="9" borderId="13" xfId="0" applyNumberFormat="1" applyFont="1" applyFill="1" applyBorder="1" applyAlignment="1">
      <alignment horizontal="center"/>
    </xf>
    <xf numFmtId="0" fontId="18" fillId="9" borderId="13" xfId="0" applyFont="1" applyFill="1" applyBorder="1" applyAlignment="1">
      <alignment wrapText="1"/>
    </xf>
    <xf numFmtId="2" fontId="18" fillId="9" borderId="6" xfId="0" applyNumberFormat="1" applyFont="1" applyFill="1" applyBorder="1" applyAlignment="1">
      <alignment horizontal="center"/>
    </xf>
    <xf numFmtId="0" fontId="20" fillId="8" borderId="6" xfId="0" applyFont="1" applyFill="1" applyBorder="1" applyAlignment="1"/>
    <xf numFmtId="0" fontId="20" fillId="8" borderId="13" xfId="0" applyFont="1" applyFill="1" applyBorder="1" applyAlignment="1"/>
    <xf numFmtId="166" fontId="18" fillId="9" borderId="6" xfId="0" applyNumberFormat="1" applyFont="1" applyFill="1" applyBorder="1" applyAlignment="1">
      <alignment horizontal="center"/>
    </xf>
    <xf numFmtId="0" fontId="26" fillId="9" borderId="4" xfId="0" applyFont="1" applyFill="1" applyBorder="1" applyAlignment="1"/>
    <xf numFmtId="1" fontId="26" fillId="9" borderId="4" xfId="0" applyNumberFormat="1" applyFont="1" applyFill="1" applyBorder="1" applyAlignment="1">
      <alignment horizontal="center"/>
    </xf>
    <xf numFmtId="0" fontId="26" fillId="9" borderId="4" xfId="0" applyFont="1" applyFill="1" applyBorder="1" applyAlignment="1">
      <alignment horizontal="center"/>
    </xf>
    <xf numFmtId="0" fontId="26" fillId="9" borderId="13" xfId="0" applyFont="1" applyFill="1" applyBorder="1" applyAlignment="1">
      <alignment horizontal="center"/>
    </xf>
    <xf numFmtId="0" fontId="26" fillId="9" borderId="0" xfId="0" applyFont="1" applyFill="1" applyBorder="1" applyAlignment="1">
      <alignment horizontal="center"/>
    </xf>
    <xf numFmtId="0" fontId="26" fillId="9" borderId="8" xfId="0" applyFont="1" applyFill="1" applyBorder="1" applyAlignment="1">
      <alignment horizontal="center"/>
    </xf>
    <xf numFmtId="165" fontId="18" fillId="10" borderId="14" xfId="0" applyNumberFormat="1" applyFont="1" applyFill="1" applyBorder="1" applyAlignment="1">
      <alignment horizontal="center"/>
    </xf>
    <xf numFmtId="165" fontId="18" fillId="10" borderId="13" xfId="0" applyNumberFormat="1" applyFont="1" applyFill="1" applyBorder="1" applyAlignment="1">
      <alignment horizontal="center"/>
    </xf>
    <xf numFmtId="165" fontId="18" fillId="10" borderId="8" xfId="0" applyNumberFormat="1" applyFont="1" applyFill="1" applyBorder="1" applyAlignment="1">
      <alignment horizontal="center"/>
    </xf>
    <xf numFmtId="165" fontId="26" fillId="10" borderId="13" xfId="0" applyNumberFormat="1" applyFont="1" applyFill="1" applyBorder="1" applyAlignment="1">
      <alignment horizontal="center"/>
    </xf>
    <xf numFmtId="165" fontId="26" fillId="10" borderId="8" xfId="0" applyNumberFormat="1" applyFont="1" applyFill="1" applyBorder="1" applyAlignment="1">
      <alignment horizontal="center"/>
    </xf>
    <xf numFmtId="169" fontId="30" fillId="8" borderId="5" xfId="0" applyNumberFormat="1" applyFont="1" applyFill="1" applyBorder="1" applyAlignment="1">
      <alignment horizontal="right" vertical="top"/>
    </xf>
    <xf numFmtId="172" fontId="1" fillId="8" borderId="0" xfId="0" applyNumberFormat="1" applyFont="1" applyFill="1" applyAlignment="1"/>
    <xf numFmtId="172" fontId="2" fillId="8" borderId="0" xfId="0" applyNumberFormat="1" applyFont="1" applyFill="1" applyAlignment="1"/>
    <xf numFmtId="172" fontId="2" fillId="8" borderId="10" xfId="0" applyNumberFormat="1" applyFont="1" applyFill="1" applyBorder="1" applyAlignment="1"/>
    <xf numFmtId="3" fontId="18" fillId="9" borderId="5" xfId="0" applyNumberFormat="1" applyFont="1" applyFill="1" applyBorder="1" applyAlignment="1">
      <alignment horizontal="left"/>
    </xf>
    <xf numFmtId="3" fontId="18" fillId="9" borderId="7" xfId="0" applyNumberFormat="1" applyFont="1" applyFill="1" applyBorder="1" applyAlignment="1">
      <alignment horizontal="left"/>
    </xf>
    <xf numFmtId="0" fontId="47" fillId="0" borderId="17" xfId="0" applyFont="1" applyBorder="1" applyAlignment="1"/>
    <xf numFmtId="0" fontId="47" fillId="0" borderId="5" xfId="0" applyFont="1" applyBorder="1" applyAlignment="1"/>
    <xf numFmtId="168" fontId="47" fillId="0" borderId="5" xfId="0" applyNumberFormat="1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14" fillId="2" borderId="0" xfId="0" applyFont="1" applyFill="1" applyBorder="1" applyAlignment="1">
      <alignment horizontal="center"/>
    </xf>
    <xf numFmtId="164" fontId="16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165" fontId="1" fillId="4" borderId="5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7030A0"/>
      <rgbColor rgb="FFFFFFCC"/>
      <rgbColor rgb="FFCCFFFF"/>
      <rgbColor rgb="FF660066"/>
      <rgbColor rgb="FFE46C0A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79646"/>
      <rgbColor rgb="FFFF6600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847440</xdr:colOff>
      <xdr:row>27</xdr:row>
      <xdr:rowOff>8665</xdr:rowOff>
    </xdr:to>
    <xdr:sp macro="" textlink="">
      <xdr:nvSpPr>
        <xdr:cNvPr id="2" name="CustomShape 1" hidden="1"/>
        <xdr:cNvSpPr/>
      </xdr:nvSpPr>
      <xdr:spPr>
        <a:xfrm>
          <a:off x="0" y="0"/>
          <a:ext cx="10031760" cy="9600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1435100</xdr:colOff>
      <xdr:row>47</xdr:row>
      <xdr:rowOff>76200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504360</xdr:colOff>
      <xdr:row>58</xdr:row>
      <xdr:rowOff>132840</xdr:rowOff>
    </xdr:to>
    <xdr:sp macro="" textlink="">
      <xdr:nvSpPr>
        <xdr:cNvPr id="2" name="CustomShape 1" hidden="1"/>
        <xdr:cNvSpPr/>
      </xdr:nvSpPr>
      <xdr:spPr>
        <a:xfrm>
          <a:off x="0" y="0"/>
          <a:ext cx="1004616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504360</xdr:colOff>
      <xdr:row>58</xdr:row>
      <xdr:rowOff>132840</xdr:rowOff>
    </xdr:to>
    <xdr:sp macro="" textlink="">
      <xdr:nvSpPr>
        <xdr:cNvPr id="3" name="CustomShape 1" hidden="1"/>
        <xdr:cNvSpPr/>
      </xdr:nvSpPr>
      <xdr:spPr>
        <a:xfrm>
          <a:off x="0" y="0"/>
          <a:ext cx="1004616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504360</xdr:colOff>
      <xdr:row>58</xdr:row>
      <xdr:rowOff>132840</xdr:rowOff>
    </xdr:to>
    <xdr:sp macro="" textlink="">
      <xdr:nvSpPr>
        <xdr:cNvPr id="4" name="CustomShape 1" hidden="1"/>
        <xdr:cNvSpPr/>
      </xdr:nvSpPr>
      <xdr:spPr>
        <a:xfrm>
          <a:off x="0" y="0"/>
          <a:ext cx="1004616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393700</xdr:colOff>
      <xdr:row>83</xdr:row>
      <xdr:rowOff>50800</xdr:rowOff>
    </xdr:to>
    <xdr:sp macro="" textlink="">
      <xdr:nvSpPr>
        <xdr:cNvPr id="2054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393700</xdr:colOff>
      <xdr:row>83</xdr:row>
      <xdr:rowOff>50800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393700</xdr:colOff>
      <xdr:row>83</xdr:row>
      <xdr:rowOff>50800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6C0A"/>
  </sheetPr>
  <dimension ref="A1:Z32"/>
  <sheetViews>
    <sheetView zoomScale="110" zoomScaleNormal="110" zoomScalePageLayoutView="110" workbookViewId="0">
      <selection activeCell="J8" sqref="J8"/>
    </sheetView>
  </sheetViews>
  <sheetFormatPr defaultColWidth="8.88671875" defaultRowHeight="13.2" x14ac:dyDescent="0.25"/>
  <cols>
    <col min="1" max="1" width="3.6640625" customWidth="1"/>
    <col min="2" max="2" width="4.33203125" customWidth="1"/>
    <col min="3" max="13" width="9.109375" customWidth="1"/>
    <col min="14" max="26" width="8.6640625" customWidth="1"/>
    <col min="27" max="1025" width="14.44140625" customWidth="1"/>
  </cols>
  <sheetData>
    <row r="1" spans="1:26" ht="6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5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25" customHeight="1" x14ac:dyDescent="0.3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67.5" customHeight="1" x14ac:dyDescent="0.3">
      <c r="A4" s="4"/>
      <c r="B4" s="315" t="s">
        <v>1</v>
      </c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3">
      <c r="A5" s="4">
        <v>1</v>
      </c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3">
      <c r="A6" s="4">
        <v>2</v>
      </c>
      <c r="B6" s="5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3">
      <c r="A7" s="4"/>
      <c r="B7" s="6" t="s"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3">
      <c r="A8" s="4">
        <v>3</v>
      </c>
      <c r="B8" s="5" t="s"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3">
      <c r="A9" s="4"/>
      <c r="B9" s="5" t="s"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3">
      <c r="A10" s="4"/>
      <c r="B10" s="5" t="s"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3">
      <c r="A11" s="4"/>
      <c r="B11" s="5" t="s"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3">
      <c r="A12" s="4"/>
      <c r="B12" s="5" t="s">
        <v>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3">
      <c r="A13" s="4"/>
      <c r="B13" s="6" t="s"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3">
      <c r="A14" s="4"/>
      <c r="B14" s="6" t="s">
        <v>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3">
      <c r="A15" s="4">
        <v>4</v>
      </c>
      <c r="B15" s="5" t="s">
        <v>309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3">
      <c r="A16" s="4"/>
      <c r="B16" s="5" t="s">
        <v>12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3">
      <c r="A17" s="4">
        <v>5</v>
      </c>
      <c r="B17" s="5" t="s">
        <v>13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3">
      <c r="A18" s="4"/>
      <c r="B18" s="5" t="s">
        <v>14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3">
      <c r="A19" s="4"/>
      <c r="B19" s="5" t="s">
        <v>15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3">
      <c r="A20" s="4"/>
      <c r="B20" s="5" t="s">
        <v>16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3">
      <c r="A21" s="4">
        <v>6</v>
      </c>
      <c r="B21" s="5" t="s">
        <v>17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3">
      <c r="A22" s="4"/>
      <c r="B22" s="5" t="s">
        <v>18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3">
      <c r="A23" s="4"/>
      <c r="B23" s="5" t="s">
        <v>19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3">
      <c r="A24" s="4"/>
      <c r="B24" s="5" t="s">
        <v>20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3">
      <c r="A25" s="4">
        <v>7</v>
      </c>
      <c r="B25" s="7" t="s">
        <v>21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3">
      <c r="A26" s="4"/>
      <c r="B26" s="6" t="s">
        <v>22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3">
      <c r="A27" s="4">
        <v>8</v>
      </c>
      <c r="B27" s="5" t="s">
        <v>23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3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3">
      <c r="A29" s="4" t="s">
        <v>24</v>
      </c>
      <c r="B29" s="8"/>
      <c r="C29" s="4" t="s">
        <v>307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3">
      <c r="A30" s="9"/>
      <c r="B30" s="8"/>
      <c r="C30" s="4" t="s">
        <v>308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3">
      <c r="A31" s="9"/>
      <c r="B31" s="8"/>
      <c r="C31" s="4" t="s">
        <v>310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6" x14ac:dyDescent="0.3">
      <c r="C32" s="4" t="s">
        <v>25</v>
      </c>
    </row>
  </sheetData>
  <mergeCells count="1">
    <mergeCell ref="B4:M4"/>
  </mergeCells>
  <pageMargins left="0.7" right="0.7" top="0.75" bottom="0.75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zoomScale="110" zoomScaleNormal="110" zoomScalePageLayoutView="110" workbookViewId="0">
      <selection activeCell="B22" sqref="B22"/>
    </sheetView>
  </sheetViews>
  <sheetFormatPr defaultColWidth="8.88671875" defaultRowHeight="13.2" x14ac:dyDescent="0.25"/>
  <cols>
    <col min="1" max="1" width="36.44140625" customWidth="1"/>
    <col min="2" max="5" width="15.88671875" customWidth="1"/>
    <col min="6" max="6" width="45.6640625" customWidth="1"/>
    <col min="7" max="26" width="8.6640625" customWidth="1"/>
    <col min="27" max="1025" width="14.44140625" customWidth="1"/>
  </cols>
  <sheetData>
    <row r="1" spans="1:26" ht="12.75" customHeight="1" x14ac:dyDescent="0.35">
      <c r="A1" s="114">
        <f>'Page 3-Assumptions'!A1</f>
        <v>0</v>
      </c>
      <c r="B1" s="115"/>
      <c r="C1" s="115"/>
      <c r="D1" s="115"/>
      <c r="E1" s="18"/>
      <c r="F1" s="116" t="s">
        <v>154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35">
      <c r="A2" s="117" t="str">
        <f>B3</f>
        <v>YEAR 4</v>
      </c>
      <c r="B2" s="26"/>
      <c r="C2" s="26"/>
      <c r="D2" s="26"/>
      <c r="E2" s="21"/>
      <c r="F2" s="11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3">
      <c r="A3" s="119"/>
      <c r="B3" s="325" t="str">
        <f>'Page 10-6 yr Budget-detail'!F4</f>
        <v>YEAR 4</v>
      </c>
      <c r="C3" s="325"/>
      <c r="D3" s="325"/>
      <c r="E3" s="325"/>
      <c r="F3" s="160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6" ht="12.75" customHeight="1" x14ac:dyDescent="0.3">
      <c r="A4" s="24"/>
      <c r="B4" s="122" t="s">
        <v>156</v>
      </c>
      <c r="C4" s="122" t="s">
        <v>157</v>
      </c>
      <c r="D4" s="122" t="s">
        <v>158</v>
      </c>
      <c r="E4" s="122" t="s">
        <v>153</v>
      </c>
      <c r="F4" s="162" t="s">
        <v>155</v>
      </c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</row>
    <row r="5" spans="1:26" ht="12.75" customHeight="1" x14ac:dyDescent="0.3">
      <c r="A5" s="124" t="s">
        <v>159</v>
      </c>
      <c r="B5" s="125"/>
      <c r="C5" s="125"/>
      <c r="D5" s="125"/>
      <c r="E5" s="163">
        <f>'Page 1-Enrollment Plan'!E20</f>
        <v>0</v>
      </c>
      <c r="F5" s="164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</row>
    <row r="6" spans="1:26" ht="12.75" customHeight="1" x14ac:dyDescent="0.3">
      <c r="A6" s="124" t="s">
        <v>160</v>
      </c>
      <c r="B6" s="125"/>
      <c r="C6" s="125"/>
      <c r="D6" s="125"/>
      <c r="E6" s="165">
        <f>'Page 1-Enrollment Plan'!E22</f>
        <v>0</v>
      </c>
      <c r="F6" s="123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</row>
    <row r="7" spans="1:26" ht="12.75" customHeight="1" x14ac:dyDescent="0.3">
      <c r="A7" s="24" t="s">
        <v>63</v>
      </c>
      <c r="B7" s="125"/>
      <c r="C7" s="125"/>
      <c r="D7" s="125"/>
      <c r="E7" s="128"/>
      <c r="F7" s="123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</row>
    <row r="8" spans="1:26" ht="12.75" customHeight="1" x14ac:dyDescent="0.3">
      <c r="A8" s="129" t="s">
        <v>161</v>
      </c>
      <c r="B8" s="130"/>
      <c r="C8" s="130"/>
      <c r="D8" s="130"/>
      <c r="E8" s="132">
        <f t="shared" ref="E8:E30" si="0">SUM(B8:D8)</f>
        <v>0</v>
      </c>
      <c r="F8" s="13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129" t="s">
        <v>162</v>
      </c>
      <c r="B9" s="134"/>
      <c r="C9" s="134">
        <v>0</v>
      </c>
      <c r="D9" s="134">
        <v>0</v>
      </c>
      <c r="E9" s="132">
        <f t="shared" si="0"/>
        <v>0</v>
      </c>
      <c r="F9" s="13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129" t="s">
        <v>163</v>
      </c>
      <c r="B10" s="134">
        <f>'Page 3-Assumptions'!F26</f>
        <v>0</v>
      </c>
      <c r="C10" s="134">
        <v>0</v>
      </c>
      <c r="D10" s="134">
        <v>0</v>
      </c>
      <c r="E10" s="132">
        <f t="shared" si="0"/>
        <v>0</v>
      </c>
      <c r="F10" s="13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129" t="s">
        <v>164</v>
      </c>
      <c r="B11" s="130"/>
      <c r="C11" s="130"/>
      <c r="D11" s="130"/>
      <c r="E11" s="132">
        <f t="shared" si="0"/>
        <v>0</v>
      </c>
      <c r="F11" s="13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">
      <c r="A12" s="129" t="s">
        <v>165</v>
      </c>
      <c r="B12" s="130"/>
      <c r="C12" s="130"/>
      <c r="D12" s="130"/>
      <c r="E12" s="132">
        <f t="shared" si="0"/>
        <v>0</v>
      </c>
      <c r="F12" s="13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">
      <c r="A13" s="129" t="s">
        <v>166</v>
      </c>
      <c r="B13" s="130">
        <f>B74</f>
        <v>0</v>
      </c>
      <c r="C13" s="130"/>
      <c r="D13" s="130"/>
      <c r="E13" s="132">
        <f t="shared" si="0"/>
        <v>0</v>
      </c>
      <c r="F13" s="135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129" t="s">
        <v>167</v>
      </c>
      <c r="B14" s="130">
        <f>100*E5*0.8</f>
        <v>0</v>
      </c>
      <c r="C14" s="130"/>
      <c r="D14" s="130"/>
      <c r="E14" s="132">
        <f t="shared" si="0"/>
        <v>0</v>
      </c>
      <c r="F14" s="13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136" t="s">
        <v>168</v>
      </c>
      <c r="B15" s="130"/>
      <c r="C15" s="130"/>
      <c r="D15" s="130"/>
      <c r="E15" s="132">
        <f t="shared" si="0"/>
        <v>0</v>
      </c>
      <c r="F15" s="13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">
      <c r="A16" s="136" t="s">
        <v>169</v>
      </c>
      <c r="B16" s="134">
        <f>E6*'Page 3-Assumptions'!F8</f>
        <v>0</v>
      </c>
      <c r="C16" s="134">
        <v>0</v>
      </c>
      <c r="D16" s="134">
        <v>0</v>
      </c>
      <c r="E16" s="132">
        <f t="shared" si="0"/>
        <v>0</v>
      </c>
      <c r="F16" s="13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3">
      <c r="A17" s="136" t="s">
        <v>170</v>
      </c>
      <c r="B17" s="134">
        <f>'Page 3-Assumptions'!F9</f>
        <v>0</v>
      </c>
      <c r="C17" s="134">
        <v>0</v>
      </c>
      <c r="D17" s="134">
        <v>0</v>
      </c>
      <c r="E17" s="132">
        <f t="shared" si="0"/>
        <v>0</v>
      </c>
      <c r="F17" s="13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3">
      <c r="A18" s="129" t="s">
        <v>84</v>
      </c>
      <c r="B18" s="134">
        <v>0</v>
      </c>
      <c r="C18" s="134">
        <f>'Page 3-Assumptions'!$F$11</f>
        <v>0</v>
      </c>
      <c r="D18" s="134">
        <v>0</v>
      </c>
      <c r="E18" s="132">
        <f t="shared" si="0"/>
        <v>0</v>
      </c>
      <c r="F18" s="13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3">
      <c r="A19" s="129" t="s">
        <v>90</v>
      </c>
      <c r="B19" s="134">
        <f>'Page 3-Assumptions'!F14</f>
        <v>500</v>
      </c>
      <c r="C19" s="134">
        <v>0</v>
      </c>
      <c r="D19" s="134">
        <v>0</v>
      </c>
      <c r="E19" s="132">
        <f t="shared" si="0"/>
        <v>500</v>
      </c>
      <c r="F19" s="13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3">
      <c r="A20" s="129" t="s">
        <v>172</v>
      </c>
      <c r="B20" s="131">
        <v>0</v>
      </c>
      <c r="C20" s="130"/>
      <c r="D20" s="130"/>
      <c r="E20" s="132">
        <f t="shared" si="0"/>
        <v>0</v>
      </c>
      <c r="F20" s="13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3">
      <c r="A21" s="129" t="s">
        <v>94</v>
      </c>
      <c r="B21" s="134">
        <f>'Page 3-Assumptions'!F16</f>
        <v>0</v>
      </c>
      <c r="C21" s="134">
        <v>0</v>
      </c>
      <c r="D21" s="134">
        <v>0</v>
      </c>
      <c r="E21" s="132">
        <f t="shared" si="0"/>
        <v>0</v>
      </c>
      <c r="F21" s="13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">
      <c r="A22" s="129" t="s">
        <v>311</v>
      </c>
      <c r="B22" s="134">
        <f>'Page 3-Assumptions'!F18</f>
        <v>0</v>
      </c>
      <c r="C22" s="134">
        <v>0</v>
      </c>
      <c r="D22" s="134">
        <v>0</v>
      </c>
      <c r="E22" s="132"/>
      <c r="F22" s="13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A23" s="166" t="s">
        <v>99</v>
      </c>
      <c r="B23" s="134">
        <v>0</v>
      </c>
      <c r="C23" s="134">
        <f>'Page 3-Assumptions'!$F$19</f>
        <v>0</v>
      </c>
      <c r="D23" s="134">
        <v>0</v>
      </c>
      <c r="E23" s="132">
        <f t="shared" si="0"/>
        <v>0</v>
      </c>
      <c r="F23" s="13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3">
      <c r="A24" s="166" t="s">
        <v>173</v>
      </c>
      <c r="B24" s="134">
        <v>0</v>
      </c>
      <c r="C24" s="134">
        <f>'Page 3-Assumptions'!$F$20</f>
        <v>0</v>
      </c>
      <c r="D24" s="134">
        <v>0</v>
      </c>
      <c r="E24" s="132">
        <f t="shared" si="0"/>
        <v>0</v>
      </c>
      <c r="F24" s="13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3">
      <c r="A25" s="166" t="s">
        <v>103</v>
      </c>
      <c r="B25" s="134">
        <v>0</v>
      </c>
      <c r="C25" s="134">
        <f>'Page 3-Assumptions'!$F$21</f>
        <v>0</v>
      </c>
      <c r="D25" s="134">
        <v>0</v>
      </c>
      <c r="E25" s="132">
        <f t="shared" si="0"/>
        <v>0</v>
      </c>
      <c r="F25" s="13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129" t="s">
        <v>303</v>
      </c>
      <c r="B26" s="134">
        <v>0</v>
      </c>
      <c r="C26" s="134">
        <f>'Page 3-Assumptions'!$F$22</f>
        <v>1500</v>
      </c>
      <c r="D26" s="134">
        <v>0</v>
      </c>
      <c r="E26" s="132">
        <f t="shared" si="0"/>
        <v>1500</v>
      </c>
      <c r="F26" s="13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166" t="s">
        <v>174</v>
      </c>
      <c r="B27" s="130">
        <v>0</v>
      </c>
      <c r="C27" s="130"/>
      <c r="D27" s="130"/>
      <c r="E27" s="132">
        <f t="shared" si="0"/>
        <v>0</v>
      </c>
      <c r="F27" s="13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3">
      <c r="A28" s="166" t="s">
        <v>175</v>
      </c>
      <c r="B28" s="134">
        <v>0</v>
      </c>
      <c r="C28" s="130"/>
      <c r="D28" s="130"/>
      <c r="E28" s="132">
        <f t="shared" si="0"/>
        <v>0</v>
      </c>
      <c r="F28" s="13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3">
      <c r="A29" s="166" t="s">
        <v>67</v>
      </c>
      <c r="B29" s="134">
        <f>E6*'Page 3-Assumptions'!F5</f>
        <v>0</v>
      </c>
      <c r="C29" s="134">
        <v>0</v>
      </c>
      <c r="D29" s="134">
        <v>0</v>
      </c>
      <c r="E29" s="132">
        <f t="shared" si="0"/>
        <v>0</v>
      </c>
      <c r="F29" s="135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3">
      <c r="A30" s="129" t="s">
        <v>176</v>
      </c>
      <c r="B30" s="137">
        <f>'Page 3-Assumptions'!F6</f>
        <v>0</v>
      </c>
      <c r="C30" s="137">
        <v>0</v>
      </c>
      <c r="D30" s="137">
        <v>0</v>
      </c>
      <c r="E30" s="132">
        <f t="shared" si="0"/>
        <v>0</v>
      </c>
      <c r="F30" s="13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3">
      <c r="A31" s="190" t="s">
        <v>177</v>
      </c>
      <c r="B31" s="139">
        <f>SUM(B8:B30)</f>
        <v>500</v>
      </c>
      <c r="C31" s="139">
        <f>SUM(C8:C30)</f>
        <v>1500</v>
      </c>
      <c r="D31" s="139">
        <f>SUM(D8:D30)</f>
        <v>0</v>
      </c>
      <c r="E31" s="139">
        <f>SUM(E8:E30)</f>
        <v>2000</v>
      </c>
      <c r="F31" s="13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3">
      <c r="A32" s="179"/>
      <c r="B32" s="141"/>
      <c r="C32" s="141"/>
      <c r="D32" s="141"/>
      <c r="E32" s="142"/>
      <c r="F32" s="13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3">
      <c r="A33" s="180" t="s">
        <v>112</v>
      </c>
      <c r="B33" s="141"/>
      <c r="C33" s="141"/>
      <c r="D33" s="141"/>
      <c r="E33" s="142"/>
      <c r="F33" s="13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3">
      <c r="A34" s="191" t="s">
        <v>178</v>
      </c>
      <c r="B34" s="134">
        <f>'Page 2-Staffing Plan'!F32</f>
        <v>1220800</v>
      </c>
      <c r="C34" s="130"/>
      <c r="D34" s="130"/>
      <c r="E34" s="132">
        <f t="shared" ref="E34:E75" si="1">SUM(B34:D34)</f>
        <v>1220800</v>
      </c>
      <c r="F34" s="13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3">
      <c r="A35" s="191" t="s">
        <v>179</v>
      </c>
      <c r="B35" s="134">
        <f>('Page 3-Assumptions'!B40*'Page 3-Assumptions'!B41)*('Page 2-Staffing Plan'!F15)</f>
        <v>0</v>
      </c>
      <c r="C35" s="130"/>
      <c r="D35" s="130"/>
      <c r="E35" s="132">
        <f t="shared" si="1"/>
        <v>0</v>
      </c>
      <c r="F35" s="13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3">
      <c r="A36" s="191" t="s">
        <v>180</v>
      </c>
      <c r="B36" s="134">
        <f>(B34+B35)*1.45%</f>
        <v>17701.599999999999</v>
      </c>
      <c r="C36" s="130"/>
      <c r="D36" s="130"/>
      <c r="E36" s="132">
        <f t="shared" si="1"/>
        <v>17701.599999999999</v>
      </c>
      <c r="F36" s="13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">
      <c r="A37" s="191" t="s">
        <v>181</v>
      </c>
      <c r="B37" s="134">
        <v>0</v>
      </c>
      <c r="C37" s="130"/>
      <c r="D37" s="130"/>
      <c r="E37" s="132">
        <f t="shared" si="1"/>
        <v>0</v>
      </c>
      <c r="F37" s="13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3">
      <c r="A38" s="129" t="s">
        <v>182</v>
      </c>
      <c r="B38" s="134">
        <f>((E34+E35)*'Page 3-Assumptions'!F32)-C38</f>
        <v>258199.19999999998</v>
      </c>
      <c r="C38" s="169"/>
      <c r="D38" s="130"/>
      <c r="E38" s="132">
        <f t="shared" si="1"/>
        <v>258199.19999999998</v>
      </c>
      <c r="F38" s="135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">
      <c r="A39" s="191" t="s">
        <v>183</v>
      </c>
      <c r="B39" s="134">
        <f>('Page 3-Assumptions'!B42*1.05^4)*'Page 2-Staffing Plan'!F37</f>
        <v>0</v>
      </c>
      <c r="C39" s="130"/>
      <c r="D39" s="130"/>
      <c r="E39" s="132">
        <f t="shared" si="1"/>
        <v>0</v>
      </c>
      <c r="F39" s="13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3">
      <c r="A40" s="191" t="s">
        <v>184</v>
      </c>
      <c r="B40" s="134">
        <f>('Page 3-Assumptions'!B43*1.02^3)*'Page 2-Staffing Plan'!F37</f>
        <v>0</v>
      </c>
      <c r="C40" s="130"/>
      <c r="D40" s="130"/>
      <c r="E40" s="132">
        <f t="shared" si="1"/>
        <v>0</v>
      </c>
      <c r="F40" s="13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3">
      <c r="A41" s="191" t="s">
        <v>185</v>
      </c>
      <c r="B41" s="134">
        <f>'Page 3-Assumptions'!$B$44*'Page 2-Staffing Plan'!F37</f>
        <v>0</v>
      </c>
      <c r="C41" s="130"/>
      <c r="D41" s="130"/>
      <c r="E41" s="132">
        <f t="shared" si="1"/>
        <v>0</v>
      </c>
      <c r="F41" s="13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">
      <c r="A42" s="129" t="s">
        <v>186</v>
      </c>
      <c r="B42" s="134">
        <v>0</v>
      </c>
      <c r="C42" s="131"/>
      <c r="D42" s="130"/>
      <c r="E42" s="132">
        <f t="shared" si="1"/>
        <v>0</v>
      </c>
      <c r="F42" s="13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3">
      <c r="A43" s="129" t="s">
        <v>187</v>
      </c>
      <c r="B43" s="134">
        <f>('Page 3-Assumptions'!$B$46*'Page 2-Staffing Plan'!F37)</f>
        <v>0</v>
      </c>
      <c r="C43" s="130"/>
      <c r="D43" s="130"/>
      <c r="E43" s="132">
        <f t="shared" si="1"/>
        <v>0</v>
      </c>
      <c r="F43" s="13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3">
      <c r="A44" s="191" t="s">
        <v>188</v>
      </c>
      <c r="B44" s="134">
        <f>'Page 3-Assumptions'!F68</f>
        <v>0</v>
      </c>
      <c r="C44" s="146"/>
      <c r="D44" s="146"/>
      <c r="E44" s="132">
        <f t="shared" si="1"/>
        <v>0</v>
      </c>
      <c r="F44" s="13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3">
      <c r="A45" s="129" t="s">
        <v>189</v>
      </c>
      <c r="B45" s="134">
        <f>E5*'Page 3-Assumptions'!$B$47</f>
        <v>0</v>
      </c>
      <c r="C45" s="130"/>
      <c r="D45" s="130"/>
      <c r="E45" s="132">
        <f t="shared" si="1"/>
        <v>0</v>
      </c>
      <c r="F45" s="13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3">
      <c r="A46" s="191" t="s">
        <v>190</v>
      </c>
      <c r="B46" s="130">
        <f>'Page 7-Year 3'!B46*1.05</f>
        <v>0</v>
      </c>
      <c r="C46" s="130"/>
      <c r="D46" s="130"/>
      <c r="E46" s="132">
        <f t="shared" si="1"/>
        <v>0</v>
      </c>
      <c r="F46" s="135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3">
      <c r="A47" s="191" t="s">
        <v>191</v>
      </c>
      <c r="B47" s="130">
        <f>'Page 7-Year 3'!B47*1.05</f>
        <v>0</v>
      </c>
      <c r="C47" s="130"/>
      <c r="D47" s="130"/>
      <c r="E47" s="132">
        <f t="shared" si="1"/>
        <v>0</v>
      </c>
      <c r="F47" s="13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3">
      <c r="A48" s="191" t="s">
        <v>192</v>
      </c>
      <c r="B48" s="130">
        <v>0</v>
      </c>
      <c r="C48" s="130">
        <f>SUM(C17:C25)</f>
        <v>0</v>
      </c>
      <c r="D48" s="130"/>
      <c r="E48" s="132">
        <f t="shared" si="1"/>
        <v>0</v>
      </c>
      <c r="F48" s="135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3">
      <c r="A49" s="191" t="s">
        <v>193</v>
      </c>
      <c r="B49" s="130">
        <f>'Page 7-Year 3'!B49*1.05</f>
        <v>0</v>
      </c>
      <c r="C49" s="130"/>
      <c r="D49" s="130"/>
      <c r="E49" s="132">
        <f t="shared" si="1"/>
        <v>0</v>
      </c>
      <c r="F49" s="13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3">
      <c r="A50" s="129" t="s">
        <v>194</v>
      </c>
      <c r="B50" s="130">
        <f>'Page 7-Year 3'!B50*1.05</f>
        <v>0</v>
      </c>
      <c r="C50" s="131"/>
      <c r="D50" s="130"/>
      <c r="E50" s="132">
        <f t="shared" si="1"/>
        <v>0</v>
      </c>
      <c r="F50" s="135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3">
      <c r="A51" s="191" t="s">
        <v>195</v>
      </c>
      <c r="B51" s="130">
        <f>'Page 7-Year 3'!B51*1.05</f>
        <v>0</v>
      </c>
      <c r="C51" s="130"/>
      <c r="D51" s="130"/>
      <c r="E51" s="132">
        <f t="shared" si="1"/>
        <v>0</v>
      </c>
      <c r="F51" s="13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3">
      <c r="A52" s="191" t="s">
        <v>196</v>
      </c>
      <c r="B52" s="130">
        <f>'Page 7-Year 3'!B52*1.05</f>
        <v>0</v>
      </c>
      <c r="C52" s="130"/>
      <c r="D52" s="130"/>
      <c r="E52" s="132">
        <f t="shared" si="1"/>
        <v>0</v>
      </c>
      <c r="F52" s="135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3">
      <c r="A53" s="191" t="s">
        <v>197</v>
      </c>
      <c r="B53" s="134">
        <f>(SUM('Page 1-Enrollment Plan'!E7:E17))*'Page 3-Assumptions'!$B$48</f>
        <v>0</v>
      </c>
      <c r="C53" s="130"/>
      <c r="D53" s="130"/>
      <c r="E53" s="132">
        <f t="shared" si="1"/>
        <v>0</v>
      </c>
      <c r="F53" s="13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3">
      <c r="A54" s="191" t="s">
        <v>198</v>
      </c>
      <c r="B54" s="134">
        <f>('Page 3-Assumptions'!$B$49+'Page 3-Assumptions'!$B$50)*'Page 1-Enrollment Plan'!E20</f>
        <v>0</v>
      </c>
      <c r="C54" s="130"/>
      <c r="D54" s="130"/>
      <c r="E54" s="132">
        <f t="shared" si="1"/>
        <v>0</v>
      </c>
      <c r="F54" s="13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3">
      <c r="A55" s="129" t="s">
        <v>199</v>
      </c>
      <c r="B55" s="134">
        <f>'Page 3-Assumptions'!F36</f>
        <v>0</v>
      </c>
      <c r="C55" s="130"/>
      <c r="D55" s="130"/>
      <c r="E55" s="132">
        <f t="shared" si="1"/>
        <v>0</v>
      </c>
      <c r="F55" s="13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3">
      <c r="A56" s="191" t="s">
        <v>200</v>
      </c>
      <c r="B56" s="134">
        <f>'Page 3-Assumptions'!$F$35*(E34+E35)</f>
        <v>3662.4</v>
      </c>
      <c r="C56" s="130"/>
      <c r="D56" s="130"/>
      <c r="E56" s="132">
        <f t="shared" si="1"/>
        <v>3662.4</v>
      </c>
      <c r="F56" s="13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3">
      <c r="A57" s="191" t="s">
        <v>201</v>
      </c>
      <c r="B57" s="134">
        <f>((E34+E35)/100)*2</f>
        <v>24416</v>
      </c>
      <c r="C57" s="130"/>
      <c r="D57" s="130"/>
      <c r="E57" s="132">
        <f t="shared" si="1"/>
        <v>24416</v>
      </c>
      <c r="F57" s="13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3">
      <c r="A58" s="191" t="s">
        <v>202</v>
      </c>
      <c r="B58" s="130">
        <f>'Page 7-Year 3'!B58*1.05</f>
        <v>0</v>
      </c>
      <c r="C58" s="130"/>
      <c r="D58" s="130"/>
      <c r="E58" s="132">
        <f t="shared" si="1"/>
        <v>0</v>
      </c>
      <c r="F58" s="13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3">
      <c r="A59" s="191" t="s">
        <v>203</v>
      </c>
      <c r="B59" s="134">
        <f>'Page 3-Assumptions'!$B$51*'Page 1-Enrollment Plan'!$E$20</f>
        <v>0</v>
      </c>
      <c r="C59" s="130"/>
      <c r="D59" s="130"/>
      <c r="E59" s="132">
        <f t="shared" si="1"/>
        <v>0</v>
      </c>
      <c r="F59" s="13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3">
      <c r="A60" s="191" t="s">
        <v>204</v>
      </c>
      <c r="B60" s="134">
        <f>E5*'Page 3-Assumptions'!$B$52</f>
        <v>0</v>
      </c>
      <c r="C60" s="130"/>
      <c r="D60" s="130"/>
      <c r="E60" s="132">
        <f t="shared" si="1"/>
        <v>0</v>
      </c>
      <c r="F60" s="13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3">
      <c r="A61" s="191" t="s">
        <v>205</v>
      </c>
      <c r="B61" s="134">
        <f>'Page 2-Staffing Plan'!F37*'Page 3-Assumptions'!$B$45</f>
        <v>0</v>
      </c>
      <c r="C61" s="130"/>
      <c r="D61" s="170"/>
      <c r="E61" s="132">
        <f t="shared" si="1"/>
        <v>0</v>
      </c>
      <c r="F61" s="135" t="s">
        <v>26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3">
      <c r="A62" s="129" t="s">
        <v>206</v>
      </c>
      <c r="B62" s="134">
        <f>E29*'Page 3-Assumptions'!F30</f>
        <v>0</v>
      </c>
      <c r="C62" s="130"/>
      <c r="D62" s="130"/>
      <c r="E62" s="132">
        <f t="shared" si="1"/>
        <v>0</v>
      </c>
      <c r="F62" s="13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3">
      <c r="A63" s="129" t="s">
        <v>207</v>
      </c>
      <c r="B63" s="134">
        <f>B29*'Page 3-Assumptions'!F31</f>
        <v>0</v>
      </c>
      <c r="C63" s="130"/>
      <c r="D63" s="130"/>
      <c r="E63" s="132">
        <f t="shared" si="1"/>
        <v>0</v>
      </c>
      <c r="F63" s="13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3">
      <c r="A64" s="191" t="s">
        <v>208</v>
      </c>
      <c r="B64" s="134">
        <f>'Page 3-Assumptions'!$B$53*'Page 1-Enrollment Plan'!$E$20</f>
        <v>0</v>
      </c>
      <c r="C64" s="130"/>
      <c r="D64" s="130"/>
      <c r="E64" s="132">
        <f t="shared" si="1"/>
        <v>0</v>
      </c>
      <c r="F64" s="13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3">
      <c r="A65" s="191" t="s">
        <v>209</v>
      </c>
      <c r="B65" s="134">
        <f>E5*'Page 3-Assumptions'!$B$54</f>
        <v>0</v>
      </c>
      <c r="C65" s="130"/>
      <c r="D65" s="130"/>
      <c r="E65" s="132">
        <f t="shared" si="1"/>
        <v>0</v>
      </c>
      <c r="F65" s="13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3">
      <c r="A66" s="191" t="s">
        <v>210</v>
      </c>
      <c r="B66" s="134">
        <f>E5*'Page 3-Assumptions'!$B$55</f>
        <v>0</v>
      </c>
      <c r="C66" s="130"/>
      <c r="D66" s="130"/>
      <c r="E66" s="132">
        <f t="shared" si="1"/>
        <v>0</v>
      </c>
      <c r="F66" s="13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3">
      <c r="A67" s="191" t="s">
        <v>211</v>
      </c>
      <c r="B67" s="131">
        <f>'Page 7-Year 3'!B67*1.05</f>
        <v>0</v>
      </c>
      <c r="C67" s="130"/>
      <c r="D67" s="170"/>
      <c r="E67" s="132">
        <f t="shared" si="1"/>
        <v>0</v>
      </c>
      <c r="F67" s="13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3">
      <c r="A68" s="191" t="s">
        <v>212</v>
      </c>
      <c r="B68" s="131">
        <f>'Page 7-Year 3'!B68*1.043</f>
        <v>0</v>
      </c>
      <c r="C68" s="130"/>
      <c r="D68" s="130"/>
      <c r="E68" s="132">
        <f t="shared" si="1"/>
        <v>0</v>
      </c>
      <c r="F68" s="135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3">
      <c r="A69" s="129" t="s">
        <v>213</v>
      </c>
      <c r="B69" s="131">
        <f>'Page 7-Year 3'!B69</f>
        <v>0</v>
      </c>
      <c r="C69" s="130"/>
      <c r="D69" s="130"/>
      <c r="E69" s="132">
        <f t="shared" si="1"/>
        <v>0</v>
      </c>
      <c r="F69" s="135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3">
      <c r="A70" s="191" t="s">
        <v>214</v>
      </c>
      <c r="B70" s="131">
        <f>'Page 7-Year 3'!B70*1.05</f>
        <v>0</v>
      </c>
      <c r="C70" s="130"/>
      <c r="D70" s="130"/>
      <c r="E70" s="132">
        <f t="shared" si="1"/>
        <v>0</v>
      </c>
      <c r="F70" s="13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3">
      <c r="A71" s="191" t="s">
        <v>215</v>
      </c>
      <c r="B71" s="131">
        <f>'Page 7-Year 3'!B71*1.05</f>
        <v>0</v>
      </c>
      <c r="C71" s="130"/>
      <c r="D71" s="130"/>
      <c r="E71" s="132">
        <f t="shared" si="1"/>
        <v>0</v>
      </c>
      <c r="F71" s="135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3">
      <c r="A72" s="191" t="s">
        <v>216</v>
      </c>
      <c r="B72" s="134">
        <f>'Page 3-Assumptions'!$B$56*'Page 1-Enrollment Plan'!E20</f>
        <v>0</v>
      </c>
      <c r="C72" s="130"/>
      <c r="D72" s="130"/>
      <c r="E72" s="132">
        <f t="shared" si="1"/>
        <v>0</v>
      </c>
      <c r="F72" s="13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3">
      <c r="A73" s="191" t="s">
        <v>217</v>
      </c>
      <c r="B73" s="130">
        <v>0</v>
      </c>
      <c r="C73" s="130"/>
      <c r="D73" s="130"/>
      <c r="E73" s="132">
        <f t="shared" si="1"/>
        <v>0</v>
      </c>
      <c r="F73" s="13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3">
      <c r="A74" s="191" t="s">
        <v>218</v>
      </c>
      <c r="B74" s="134">
        <f>('Page 3-Assumptions'!$B$57*'Page 1-Enrollment Plan'!E20)</f>
        <v>0</v>
      </c>
      <c r="C74" s="130"/>
      <c r="D74" s="130"/>
      <c r="E74" s="132">
        <f t="shared" si="1"/>
        <v>0</v>
      </c>
      <c r="F74" s="13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3">
      <c r="A75" s="129" t="s">
        <v>219</v>
      </c>
      <c r="B75" s="192">
        <v>0</v>
      </c>
      <c r="C75" s="146"/>
      <c r="D75" s="146"/>
      <c r="E75" s="132">
        <f t="shared" si="1"/>
        <v>0</v>
      </c>
      <c r="F75" s="13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3">
      <c r="A76" s="178" t="s">
        <v>220</v>
      </c>
      <c r="B76" s="139">
        <f>SUM(B34:B75)</f>
        <v>1524779.2</v>
      </c>
      <c r="C76" s="139">
        <f>SUM(C34:C75)</f>
        <v>0</v>
      </c>
      <c r="D76" s="139">
        <f>SUM(D34:D75)</f>
        <v>0</v>
      </c>
      <c r="E76" s="139">
        <f>SUM(E34:E75)</f>
        <v>1524779.2</v>
      </c>
      <c r="F76" s="13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3">
      <c r="A77" s="49"/>
      <c r="B77" s="141"/>
      <c r="C77" s="141"/>
      <c r="D77" s="141"/>
      <c r="E77" s="142"/>
      <c r="F77" s="13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3">
      <c r="A78" s="190" t="s">
        <v>221</v>
      </c>
      <c r="B78" s="139">
        <f>B31-B76</f>
        <v>-1524279.2</v>
      </c>
      <c r="C78" s="139">
        <f>C31-C76</f>
        <v>1500</v>
      </c>
      <c r="D78" s="139">
        <f>D31-D76</f>
        <v>0</v>
      </c>
      <c r="E78" s="139">
        <f>E31-E76</f>
        <v>-1522779.2</v>
      </c>
      <c r="F78" s="13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3">
      <c r="A79" s="41"/>
      <c r="B79" s="141"/>
      <c r="C79" s="141"/>
      <c r="D79" s="141"/>
      <c r="E79" s="142"/>
      <c r="F79" s="13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3">
      <c r="A80" s="150" t="s">
        <v>237</v>
      </c>
      <c r="B80" s="141"/>
      <c r="C80" s="141"/>
      <c r="D80" s="151"/>
      <c r="E80" s="142"/>
      <c r="F80" s="13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3">
      <c r="A81" s="136" t="s">
        <v>223</v>
      </c>
      <c r="B81" s="141">
        <v>0</v>
      </c>
      <c r="C81" s="141"/>
      <c r="D81" s="151"/>
      <c r="E81" s="142">
        <f>B81+C81+D81</f>
        <v>0</v>
      </c>
      <c r="F81" s="135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3">
      <c r="A82" s="155" t="s">
        <v>238</v>
      </c>
      <c r="B82" s="182">
        <f>-(3%*(B31-((SUM(B15:B23)))))-('Page 5-Year 1'!B82+'Page 6-Year 2'!B82+'Page 7-Year 3'!B82)</f>
        <v>0</v>
      </c>
      <c r="C82" s="141"/>
      <c r="D82" s="141"/>
      <c r="E82" s="142">
        <f>SUM(B82:D82)</f>
        <v>0</v>
      </c>
      <c r="F82" s="13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3">
      <c r="A83" s="178" t="s">
        <v>225</v>
      </c>
      <c r="B83" s="172">
        <f>SUM(B78:B82)</f>
        <v>-1524279.2</v>
      </c>
      <c r="C83" s="172">
        <f>SUM(C78:C82)</f>
        <v>1500</v>
      </c>
      <c r="D83" s="172">
        <f>SUM(D78:D82)</f>
        <v>0</v>
      </c>
      <c r="E83" s="172">
        <f>SUM(E78:E82)</f>
        <v>-1522779.2</v>
      </c>
      <c r="F83" s="13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3">
      <c r="A84" s="173"/>
      <c r="B84" s="174"/>
      <c r="C84" s="174"/>
      <c r="D84" s="174"/>
      <c r="E84" s="175"/>
      <c r="F84" s="13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3">
      <c r="A85" s="41" t="s">
        <v>226</v>
      </c>
      <c r="B85" s="26"/>
      <c r="C85" s="26"/>
      <c r="D85" s="26"/>
      <c r="E85" s="154">
        <f>'Page 7-Year 3'!E86</f>
        <v>-2739676.3</v>
      </c>
      <c r="F85" s="135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3">
      <c r="A86" s="41" t="s">
        <v>227</v>
      </c>
      <c r="B86" s="26"/>
      <c r="C86" s="26"/>
      <c r="D86" s="26"/>
      <c r="E86" s="154">
        <f>E78+E81+E85</f>
        <v>-4262455.5</v>
      </c>
      <c r="F86" s="135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3">
      <c r="A87" s="155" t="s">
        <v>228</v>
      </c>
      <c r="B87" s="26"/>
      <c r="C87" s="26"/>
      <c r="D87" s="26"/>
      <c r="E87" s="151">
        <f>'Page 7-Year 3'!E87-E82</f>
        <v>0</v>
      </c>
      <c r="F87" s="118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3">
      <c r="A88" s="155" t="s">
        <v>229</v>
      </c>
      <c r="B88" s="26"/>
      <c r="C88" s="26"/>
      <c r="D88" s="26"/>
      <c r="E88" s="151">
        <f>E86-E87</f>
        <v>-4262455.5</v>
      </c>
      <c r="F88" s="118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3">
      <c r="A89" s="176" t="s">
        <v>230</v>
      </c>
      <c r="B89" s="26"/>
      <c r="C89" s="26"/>
      <c r="D89" s="26"/>
      <c r="E89" s="156">
        <f>E88/E76</f>
        <v>-2.7954575324742099</v>
      </c>
      <c r="F89" s="118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3">
      <c r="A90" s="157"/>
      <c r="B90" s="29"/>
      <c r="C90" s="29"/>
      <c r="D90" s="29"/>
      <c r="E90" s="30"/>
      <c r="F90" s="189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</sheetData>
  <mergeCells count="1">
    <mergeCell ref="B3:E3"/>
  </mergeCells>
  <printOptions horizontalCentered="1"/>
  <pageMargins left="0.25" right="0.25" top="0.42013888888888901" bottom="0.69027777777777799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zoomScale="110" zoomScaleNormal="110" zoomScalePageLayoutView="110" workbookViewId="0">
      <selection activeCell="E41" sqref="E41"/>
    </sheetView>
  </sheetViews>
  <sheetFormatPr defaultColWidth="8.88671875" defaultRowHeight="13.2" x14ac:dyDescent="0.25"/>
  <cols>
    <col min="1" max="1" width="37.109375" customWidth="1"/>
    <col min="2" max="5" width="15.88671875" customWidth="1"/>
    <col min="6" max="6" width="45.6640625" customWidth="1"/>
    <col min="7" max="7" width="11.44140625" customWidth="1"/>
    <col min="8" max="8" width="12" customWidth="1"/>
    <col min="9" max="26" width="8.6640625" customWidth="1"/>
    <col min="27" max="1025" width="14.44140625" customWidth="1"/>
  </cols>
  <sheetData>
    <row r="1" spans="1:26" ht="12.75" customHeight="1" x14ac:dyDescent="0.35">
      <c r="A1" s="114">
        <f>'Page 3-Assumptions'!A1</f>
        <v>0</v>
      </c>
      <c r="B1" s="115"/>
      <c r="C1" s="115"/>
      <c r="D1" s="115"/>
      <c r="E1" s="18"/>
      <c r="F1" s="116" t="s">
        <v>154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35">
      <c r="A2" s="117" t="str">
        <f>B3</f>
        <v>YEAR 5</v>
      </c>
      <c r="B2" s="26"/>
      <c r="C2" s="26"/>
      <c r="D2" s="26"/>
      <c r="E2" s="21"/>
      <c r="F2" s="11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3">
      <c r="A3" s="119"/>
      <c r="B3" s="325" t="str">
        <f>'Page 10-6 yr Budget-detail'!G4</f>
        <v>YEAR 5</v>
      </c>
      <c r="C3" s="325"/>
      <c r="D3" s="325"/>
      <c r="E3" s="325"/>
      <c r="F3" s="160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6" ht="12.75" customHeight="1" x14ac:dyDescent="0.3">
      <c r="A4" s="24"/>
      <c r="B4" s="122" t="s">
        <v>156</v>
      </c>
      <c r="C4" s="122" t="s">
        <v>157</v>
      </c>
      <c r="D4" s="122" t="s">
        <v>158</v>
      </c>
      <c r="E4" s="122" t="s">
        <v>153</v>
      </c>
      <c r="F4" s="162" t="s">
        <v>155</v>
      </c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</row>
    <row r="5" spans="1:26" ht="12.75" customHeight="1" x14ac:dyDescent="0.3">
      <c r="A5" s="124" t="s">
        <v>159</v>
      </c>
      <c r="B5" s="125"/>
      <c r="C5" s="125"/>
      <c r="D5" s="125"/>
      <c r="E5" s="163">
        <f>'Page 1-Enrollment Plan'!F20</f>
        <v>0</v>
      </c>
      <c r="F5" s="164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</row>
    <row r="6" spans="1:26" ht="12.75" customHeight="1" x14ac:dyDescent="0.3">
      <c r="A6" s="124" t="s">
        <v>160</v>
      </c>
      <c r="B6" s="125"/>
      <c r="C6" s="125"/>
      <c r="D6" s="125"/>
      <c r="E6" s="165">
        <f>'Page 1-Enrollment Plan'!F22</f>
        <v>0</v>
      </c>
      <c r="F6" s="123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</row>
    <row r="7" spans="1:26" ht="12.75" customHeight="1" x14ac:dyDescent="0.3">
      <c r="A7" s="24" t="s">
        <v>63</v>
      </c>
      <c r="B7" s="125"/>
      <c r="C7" s="125"/>
      <c r="D7" s="125"/>
      <c r="E7" s="128"/>
      <c r="F7" s="123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</row>
    <row r="8" spans="1:26" ht="12.75" customHeight="1" x14ac:dyDescent="0.3">
      <c r="A8" s="129" t="s">
        <v>161</v>
      </c>
      <c r="B8" s="130"/>
      <c r="C8" s="130"/>
      <c r="D8" s="144"/>
      <c r="E8" s="132">
        <f t="shared" ref="E8:E30" si="0">SUM(B8:D8)</f>
        <v>0</v>
      </c>
      <c r="F8" s="13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129" t="s">
        <v>162</v>
      </c>
      <c r="B9" s="134"/>
      <c r="C9" s="134">
        <v>0</v>
      </c>
      <c r="D9" s="134">
        <v>0</v>
      </c>
      <c r="E9" s="132">
        <f t="shared" si="0"/>
        <v>0</v>
      </c>
      <c r="F9" s="13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129" t="s">
        <v>163</v>
      </c>
      <c r="B10" s="134">
        <f>'Page 3-Assumptions'!G26</f>
        <v>0</v>
      </c>
      <c r="C10" s="134">
        <v>0</v>
      </c>
      <c r="D10" s="134">
        <v>0</v>
      </c>
      <c r="E10" s="132">
        <f t="shared" si="0"/>
        <v>0</v>
      </c>
      <c r="F10" s="13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129" t="s">
        <v>164</v>
      </c>
      <c r="B11" s="130"/>
      <c r="C11" s="144"/>
      <c r="D11" s="144"/>
      <c r="E11" s="132">
        <f t="shared" si="0"/>
        <v>0</v>
      </c>
      <c r="F11" s="13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">
      <c r="A12" s="129" t="s">
        <v>165</v>
      </c>
      <c r="B12" s="130"/>
      <c r="C12" s="144"/>
      <c r="D12" s="144"/>
      <c r="E12" s="132">
        <f t="shared" si="0"/>
        <v>0</v>
      </c>
      <c r="F12" s="13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">
      <c r="A13" s="129" t="s">
        <v>166</v>
      </c>
      <c r="B13" s="130">
        <f>B74</f>
        <v>0</v>
      </c>
      <c r="C13" s="144"/>
      <c r="D13" s="144"/>
      <c r="E13" s="132">
        <f t="shared" si="0"/>
        <v>0</v>
      </c>
      <c r="F13" s="135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129" t="s">
        <v>167</v>
      </c>
      <c r="B14" s="130">
        <f>100*E5*0.8</f>
        <v>0</v>
      </c>
      <c r="C14" s="144"/>
      <c r="D14" s="144"/>
      <c r="E14" s="132">
        <f t="shared" si="0"/>
        <v>0</v>
      </c>
      <c r="F14" s="13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136" t="s">
        <v>168</v>
      </c>
      <c r="B15" s="130"/>
      <c r="C15" s="144"/>
      <c r="D15" s="144"/>
      <c r="E15" s="132">
        <f t="shared" si="0"/>
        <v>0</v>
      </c>
      <c r="F15" s="13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">
      <c r="A16" s="136" t="s">
        <v>169</v>
      </c>
      <c r="B16" s="134">
        <f>E6*'Page 3-Assumptions'!G8</f>
        <v>0</v>
      </c>
      <c r="C16" s="134">
        <v>0</v>
      </c>
      <c r="D16" s="134">
        <v>0</v>
      </c>
      <c r="E16" s="132">
        <f t="shared" si="0"/>
        <v>0</v>
      </c>
      <c r="F16" s="13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3">
      <c r="A17" s="136" t="s">
        <v>170</v>
      </c>
      <c r="B17" s="134">
        <f>'Page 3-Assumptions'!G9</f>
        <v>0</v>
      </c>
      <c r="C17" s="134">
        <v>0</v>
      </c>
      <c r="D17" s="134">
        <v>0</v>
      </c>
      <c r="E17" s="132">
        <f t="shared" si="0"/>
        <v>0</v>
      </c>
      <c r="F17" s="13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3">
      <c r="A18" s="129" t="s">
        <v>84</v>
      </c>
      <c r="B18" s="134">
        <v>0</v>
      </c>
      <c r="C18" s="134">
        <f>'Page 3-Assumptions'!$G$11</f>
        <v>0</v>
      </c>
      <c r="D18" s="134">
        <v>0</v>
      </c>
      <c r="E18" s="132">
        <f t="shared" si="0"/>
        <v>0</v>
      </c>
      <c r="F18" s="13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3">
      <c r="A19" s="129" t="s">
        <v>90</v>
      </c>
      <c r="B19" s="134">
        <f>'Page 3-Assumptions'!G14</f>
        <v>500</v>
      </c>
      <c r="C19" s="134">
        <v>0</v>
      </c>
      <c r="D19" s="134">
        <v>0</v>
      </c>
      <c r="E19" s="132">
        <f t="shared" si="0"/>
        <v>500</v>
      </c>
      <c r="F19" s="13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3">
      <c r="A20" s="129" t="s">
        <v>172</v>
      </c>
      <c r="B20" s="131"/>
      <c r="C20" s="144"/>
      <c r="D20" s="144"/>
      <c r="E20" s="132">
        <f t="shared" si="0"/>
        <v>0</v>
      </c>
      <c r="F20" s="13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3">
      <c r="A21" s="129" t="s">
        <v>94</v>
      </c>
      <c r="B21" s="134">
        <f>'Page 3-Assumptions'!G16</f>
        <v>0</v>
      </c>
      <c r="C21" s="134">
        <v>0</v>
      </c>
      <c r="D21" s="134">
        <v>0</v>
      </c>
      <c r="E21" s="132">
        <f t="shared" si="0"/>
        <v>0</v>
      </c>
      <c r="F21" s="13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">
      <c r="A22" s="129" t="s">
        <v>311</v>
      </c>
      <c r="B22" s="134">
        <f>'Page 3-Assumptions'!G18</f>
        <v>0</v>
      </c>
      <c r="C22" s="134">
        <v>0</v>
      </c>
      <c r="D22" s="134">
        <v>0</v>
      </c>
      <c r="E22" s="132"/>
      <c r="F22" s="13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A23" s="129" t="s">
        <v>99</v>
      </c>
      <c r="B23" s="134">
        <v>0</v>
      </c>
      <c r="C23" s="134">
        <f>'Page 3-Assumptions'!$G$19</f>
        <v>0</v>
      </c>
      <c r="D23" s="134">
        <v>0</v>
      </c>
      <c r="E23" s="132">
        <f t="shared" si="0"/>
        <v>0</v>
      </c>
      <c r="F23" s="13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3">
      <c r="A24" s="129" t="s">
        <v>173</v>
      </c>
      <c r="B24" s="134">
        <v>0</v>
      </c>
      <c r="C24" s="134">
        <f>'Page 3-Assumptions'!$G$20</f>
        <v>0</v>
      </c>
      <c r="D24" s="134">
        <v>0</v>
      </c>
      <c r="E24" s="132">
        <f t="shared" si="0"/>
        <v>0</v>
      </c>
      <c r="F24" s="13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3">
      <c r="A25" s="129" t="s">
        <v>103</v>
      </c>
      <c r="B25" s="134">
        <v>0</v>
      </c>
      <c r="C25" s="134">
        <f>'Page 3-Assumptions'!$G$21</f>
        <v>0</v>
      </c>
      <c r="D25" s="134">
        <v>0</v>
      </c>
      <c r="E25" s="132">
        <f t="shared" si="0"/>
        <v>0</v>
      </c>
      <c r="F25" s="13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129" t="s">
        <v>303</v>
      </c>
      <c r="B26" s="134"/>
      <c r="C26" s="134">
        <f>'Page 3-Assumptions'!$G$22</f>
        <v>1500</v>
      </c>
      <c r="D26" s="134"/>
      <c r="E26" s="132">
        <f t="shared" si="0"/>
        <v>1500</v>
      </c>
      <c r="F26" s="13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166" t="s">
        <v>174</v>
      </c>
      <c r="B27" s="130"/>
      <c r="C27" s="144"/>
      <c r="D27" s="144"/>
      <c r="E27" s="132">
        <f t="shared" si="0"/>
        <v>0</v>
      </c>
      <c r="F27" s="13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3">
      <c r="A28" s="166" t="s">
        <v>175</v>
      </c>
      <c r="B28" s="130"/>
      <c r="C28" s="144"/>
      <c r="D28" s="144"/>
      <c r="E28" s="132">
        <f t="shared" si="0"/>
        <v>0</v>
      </c>
      <c r="F28" s="13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3">
      <c r="A29" s="166" t="s">
        <v>67</v>
      </c>
      <c r="B29" s="134">
        <f>E6*'Page 3-Assumptions'!G5</f>
        <v>0</v>
      </c>
      <c r="C29" s="134">
        <v>0</v>
      </c>
      <c r="D29" s="134">
        <v>0</v>
      </c>
      <c r="E29" s="132">
        <f t="shared" si="0"/>
        <v>0</v>
      </c>
      <c r="F29" s="135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3">
      <c r="A30" s="129" t="s">
        <v>176</v>
      </c>
      <c r="B30" s="137">
        <f>'Page 3-Assumptions'!G6</f>
        <v>0</v>
      </c>
      <c r="C30" s="134">
        <v>0</v>
      </c>
      <c r="D30" s="134">
        <v>0</v>
      </c>
      <c r="E30" s="132">
        <f t="shared" si="0"/>
        <v>0</v>
      </c>
      <c r="F30" s="13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3">
      <c r="A31" s="178" t="s">
        <v>177</v>
      </c>
      <c r="B31" s="139">
        <f>SUM(B8:B30)</f>
        <v>500</v>
      </c>
      <c r="C31" s="139">
        <f>SUM(C8:C30)</f>
        <v>1500</v>
      </c>
      <c r="D31" s="139">
        <f>SUM(D8:D30)</f>
        <v>0</v>
      </c>
      <c r="E31" s="139">
        <f>SUM(E8:E30)</f>
        <v>2000</v>
      </c>
      <c r="F31" s="13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3">
      <c r="A32" s="179"/>
      <c r="B32" s="141"/>
      <c r="C32" s="141"/>
      <c r="D32" s="141"/>
      <c r="E32" s="142"/>
      <c r="F32" s="13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3">
      <c r="A33" s="180" t="s">
        <v>112</v>
      </c>
      <c r="B33" s="141"/>
      <c r="C33" s="141"/>
      <c r="D33" s="141"/>
      <c r="E33" s="142"/>
      <c r="F33" s="13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3">
      <c r="A34" s="191" t="s">
        <v>178</v>
      </c>
      <c r="B34" s="134">
        <f>'Page 2-Staffing Plan'!G32</f>
        <v>1483500</v>
      </c>
      <c r="C34" s="130"/>
      <c r="D34" s="144"/>
      <c r="E34" s="132">
        <f t="shared" ref="E34:E75" si="1">SUM(B34:D34)</f>
        <v>1483500</v>
      </c>
      <c r="F34" s="13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3">
      <c r="A35" s="191" t="s">
        <v>239</v>
      </c>
      <c r="B35" s="134">
        <f>('Page 3-Assumptions'!$B$40*'Page 3-Assumptions'!$B$41)*('Page 2-Staffing Plan'!$G$15)</f>
        <v>0</v>
      </c>
      <c r="C35" s="130"/>
      <c r="D35" s="144"/>
      <c r="E35" s="132">
        <f t="shared" si="1"/>
        <v>0</v>
      </c>
      <c r="F35" s="13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3">
      <c r="A36" s="191" t="s">
        <v>180</v>
      </c>
      <c r="B36" s="134">
        <f>(B34+B35)*1.45%</f>
        <v>21510.75</v>
      </c>
      <c r="C36" s="130"/>
      <c r="D36" s="144"/>
      <c r="E36" s="132">
        <f t="shared" si="1"/>
        <v>21510.75</v>
      </c>
      <c r="F36" s="13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">
      <c r="A37" s="191" t="s">
        <v>181</v>
      </c>
      <c r="B37" s="134">
        <v>0</v>
      </c>
      <c r="C37" s="130"/>
      <c r="D37" s="144"/>
      <c r="E37" s="132">
        <f t="shared" si="1"/>
        <v>0</v>
      </c>
      <c r="F37" s="13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3">
      <c r="A38" s="129" t="s">
        <v>182</v>
      </c>
      <c r="B38" s="134">
        <f>((E34+E35)*'Page 3-Assumptions'!G32)-C38</f>
        <v>317469</v>
      </c>
      <c r="C38" s="130"/>
      <c r="D38" s="144"/>
      <c r="E38" s="132">
        <f t="shared" si="1"/>
        <v>317469</v>
      </c>
      <c r="F38" s="135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">
      <c r="A39" s="191" t="s">
        <v>183</v>
      </c>
      <c r="B39" s="134">
        <f>('Page 3-Assumptions'!B42*1.05^5)*'Page 2-Staffing Plan'!G37</f>
        <v>0</v>
      </c>
      <c r="C39" s="130"/>
      <c r="D39" s="144"/>
      <c r="E39" s="132">
        <f t="shared" si="1"/>
        <v>0</v>
      </c>
      <c r="F39" s="135"/>
      <c r="G39" s="2"/>
      <c r="H39" s="19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3">
      <c r="A40" s="191" t="s">
        <v>184</v>
      </c>
      <c r="B40" s="134">
        <f>('Page 3-Assumptions'!B43*1.02^4)*'Page 2-Staffing Plan'!G37</f>
        <v>0</v>
      </c>
      <c r="C40" s="130"/>
      <c r="D40" s="144"/>
      <c r="E40" s="132">
        <f t="shared" si="1"/>
        <v>0</v>
      </c>
      <c r="F40" s="13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3">
      <c r="A41" s="191" t="s">
        <v>185</v>
      </c>
      <c r="B41" s="134">
        <f>'Page 3-Assumptions'!$B$44*'Page 2-Staffing Plan'!G37</f>
        <v>0</v>
      </c>
      <c r="C41" s="130"/>
      <c r="D41" s="144"/>
      <c r="E41" s="132">
        <f t="shared" si="1"/>
        <v>0</v>
      </c>
      <c r="F41" s="13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">
      <c r="A42" s="129" t="s">
        <v>186</v>
      </c>
      <c r="B42" s="134">
        <v>0</v>
      </c>
      <c r="C42" s="130"/>
      <c r="D42" s="130"/>
      <c r="E42" s="132">
        <f t="shared" si="1"/>
        <v>0</v>
      </c>
      <c r="F42" s="13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3">
      <c r="A43" s="129" t="s">
        <v>187</v>
      </c>
      <c r="B43" s="134">
        <f>('Page 3-Assumptions'!$B$46*'Page 2-Staffing Plan'!G37)</f>
        <v>0</v>
      </c>
      <c r="C43" s="130"/>
      <c r="D43" s="144"/>
      <c r="E43" s="132">
        <f t="shared" si="1"/>
        <v>0</v>
      </c>
      <c r="F43" s="13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3">
      <c r="A44" s="191" t="s">
        <v>188</v>
      </c>
      <c r="B44" s="134">
        <f>'Page 3-Assumptions'!G68</f>
        <v>0</v>
      </c>
      <c r="C44" s="130"/>
      <c r="D44" s="194"/>
      <c r="E44" s="132">
        <f t="shared" si="1"/>
        <v>0</v>
      </c>
      <c r="F44" s="13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3">
      <c r="A45" s="129" t="s">
        <v>189</v>
      </c>
      <c r="B45" s="134">
        <f>E5*'Page 3-Assumptions'!$B$47</f>
        <v>0</v>
      </c>
      <c r="C45" s="130"/>
      <c r="D45" s="144"/>
      <c r="E45" s="132">
        <f t="shared" si="1"/>
        <v>0</v>
      </c>
      <c r="F45" s="13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3">
      <c r="A46" s="191" t="s">
        <v>190</v>
      </c>
      <c r="B46" s="130">
        <f>'Page 8-Year 4'!B46*1.05</f>
        <v>0</v>
      </c>
      <c r="C46" s="130"/>
      <c r="D46" s="144"/>
      <c r="E46" s="132">
        <f t="shared" si="1"/>
        <v>0</v>
      </c>
      <c r="F46" s="135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3">
      <c r="A47" s="191" t="s">
        <v>191</v>
      </c>
      <c r="B47" s="130">
        <f>'Page 8-Year 4'!B47*1.05</f>
        <v>0</v>
      </c>
      <c r="C47" s="130"/>
      <c r="D47" s="144"/>
      <c r="E47" s="132">
        <f t="shared" si="1"/>
        <v>0</v>
      </c>
      <c r="F47" s="13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3">
      <c r="A48" s="191" t="s">
        <v>192</v>
      </c>
      <c r="B48" s="130">
        <v>0</v>
      </c>
      <c r="C48" s="130">
        <f>SUM(C17:C25)</f>
        <v>0</v>
      </c>
      <c r="D48" s="144"/>
      <c r="E48" s="132">
        <f t="shared" si="1"/>
        <v>0</v>
      </c>
      <c r="F48" s="135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3">
      <c r="A49" s="191" t="s">
        <v>193</v>
      </c>
      <c r="B49" s="130">
        <f>'Page 8-Year 4'!B49*1.05</f>
        <v>0</v>
      </c>
      <c r="C49" s="130"/>
      <c r="D49" s="144"/>
      <c r="E49" s="132">
        <f t="shared" si="1"/>
        <v>0</v>
      </c>
      <c r="F49" s="13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3">
      <c r="A50" s="129" t="s">
        <v>194</v>
      </c>
      <c r="B50" s="130">
        <f>'Page 8-Year 4'!B50*1.05</f>
        <v>0</v>
      </c>
      <c r="C50" s="130"/>
      <c r="D50" s="130"/>
      <c r="E50" s="132">
        <f t="shared" si="1"/>
        <v>0</v>
      </c>
      <c r="F50" s="135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3">
      <c r="A51" s="191" t="s">
        <v>195</v>
      </c>
      <c r="B51" s="130">
        <f>'Page 8-Year 4'!B51*1.05</f>
        <v>0</v>
      </c>
      <c r="C51" s="130"/>
      <c r="D51" s="144"/>
      <c r="E51" s="132">
        <f t="shared" si="1"/>
        <v>0</v>
      </c>
      <c r="F51" s="13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3">
      <c r="A52" s="191" t="s">
        <v>196</v>
      </c>
      <c r="B52" s="130">
        <f>'Page 8-Year 4'!B52*1.05</f>
        <v>0</v>
      </c>
      <c r="C52" s="130"/>
      <c r="D52" s="144"/>
      <c r="E52" s="132">
        <f t="shared" si="1"/>
        <v>0</v>
      </c>
      <c r="F52" s="135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3">
      <c r="A53" s="191" t="s">
        <v>197</v>
      </c>
      <c r="B53" s="134">
        <f>(SUM('Page 1-Enrollment Plan'!F7:F17))*'Page 3-Assumptions'!$B$48</f>
        <v>0</v>
      </c>
      <c r="C53" s="130"/>
      <c r="D53" s="144"/>
      <c r="E53" s="132">
        <f t="shared" si="1"/>
        <v>0</v>
      </c>
      <c r="F53" s="13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3">
      <c r="A54" s="191" t="s">
        <v>198</v>
      </c>
      <c r="B54" s="134">
        <f>('Page 3-Assumptions'!$B$49+'Page 3-Assumptions'!$B$50)*'Page 1-Enrollment Plan'!F20</f>
        <v>0</v>
      </c>
      <c r="C54" s="130"/>
      <c r="D54" s="144"/>
      <c r="E54" s="132">
        <f t="shared" si="1"/>
        <v>0</v>
      </c>
      <c r="F54" s="13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3">
      <c r="A55" s="129" t="s">
        <v>199</v>
      </c>
      <c r="B55" s="134">
        <f>'Page 3-Assumptions'!G36</f>
        <v>0</v>
      </c>
      <c r="C55" s="130"/>
      <c r="D55" s="144"/>
      <c r="E55" s="132">
        <f t="shared" si="1"/>
        <v>0</v>
      </c>
      <c r="F55" s="13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3">
      <c r="A56" s="191" t="s">
        <v>200</v>
      </c>
      <c r="B56" s="134">
        <f>'Page 3-Assumptions'!$G$35*(E34+E35)</f>
        <v>4450.5</v>
      </c>
      <c r="C56" s="130"/>
      <c r="D56" s="144"/>
      <c r="E56" s="132">
        <f t="shared" si="1"/>
        <v>4450.5</v>
      </c>
      <c r="F56" s="13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3">
      <c r="A57" s="191" t="s">
        <v>201</v>
      </c>
      <c r="B57" s="134">
        <f>((E34+E35)/100)*2</f>
        <v>29670</v>
      </c>
      <c r="C57" s="130"/>
      <c r="D57" s="144"/>
      <c r="E57" s="132">
        <f t="shared" si="1"/>
        <v>29670</v>
      </c>
      <c r="F57" s="13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3">
      <c r="A58" s="191" t="s">
        <v>202</v>
      </c>
      <c r="B58" s="130">
        <f>'Page 8-Year 4'!B58*1.05</f>
        <v>0</v>
      </c>
      <c r="C58" s="130"/>
      <c r="D58" s="144"/>
      <c r="E58" s="132">
        <f t="shared" si="1"/>
        <v>0</v>
      </c>
      <c r="F58" s="13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3">
      <c r="A59" s="191" t="s">
        <v>203</v>
      </c>
      <c r="B59" s="134">
        <f>'Page 3-Assumptions'!$B$51*'Page 1-Enrollment Plan'!$F$20</f>
        <v>0</v>
      </c>
      <c r="C59" s="130"/>
      <c r="D59" s="144"/>
      <c r="E59" s="132">
        <f t="shared" si="1"/>
        <v>0</v>
      </c>
      <c r="F59" s="13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3">
      <c r="A60" s="191" t="s">
        <v>204</v>
      </c>
      <c r="B60" s="134">
        <f>E5*'Page 3-Assumptions'!$B$52</f>
        <v>0</v>
      </c>
      <c r="C60" s="130"/>
      <c r="D60" s="144"/>
      <c r="E60" s="132">
        <f t="shared" si="1"/>
        <v>0</v>
      </c>
      <c r="F60" s="13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3">
      <c r="A61" s="191" t="s">
        <v>205</v>
      </c>
      <c r="B61" s="134">
        <f>'Page 2-Staffing Plan'!G37*'Page 3-Assumptions'!$B$45</f>
        <v>0</v>
      </c>
      <c r="C61" s="130"/>
      <c r="D61" s="195"/>
      <c r="E61" s="132">
        <f t="shared" si="1"/>
        <v>0</v>
      </c>
      <c r="F61" s="135" t="s">
        <v>26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3">
      <c r="A62" s="129" t="s">
        <v>206</v>
      </c>
      <c r="B62" s="134">
        <f>E29*'Page 3-Assumptions'!G30</f>
        <v>0</v>
      </c>
      <c r="C62" s="130"/>
      <c r="D62" s="144"/>
      <c r="E62" s="132">
        <f t="shared" si="1"/>
        <v>0</v>
      </c>
      <c r="F62" s="13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3">
      <c r="A63" s="129" t="s">
        <v>207</v>
      </c>
      <c r="B63" s="134">
        <f>B29*'Page 3-Assumptions'!G31</f>
        <v>0</v>
      </c>
      <c r="C63" s="130"/>
      <c r="D63" s="144"/>
      <c r="E63" s="132">
        <f t="shared" si="1"/>
        <v>0</v>
      </c>
      <c r="F63" s="13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3">
      <c r="A64" s="191" t="s">
        <v>208</v>
      </c>
      <c r="B64" s="134">
        <f>'Page 3-Assumptions'!$B$53*'Page 1-Enrollment Plan'!$F$20</f>
        <v>0</v>
      </c>
      <c r="C64" s="130"/>
      <c r="D64" s="144"/>
      <c r="E64" s="132">
        <f t="shared" si="1"/>
        <v>0</v>
      </c>
      <c r="F64" s="13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3">
      <c r="A65" s="191" t="s">
        <v>209</v>
      </c>
      <c r="B65" s="134">
        <f>E5*'Page 3-Assumptions'!$B$54</f>
        <v>0</v>
      </c>
      <c r="C65" s="130"/>
      <c r="D65" s="144"/>
      <c r="E65" s="132">
        <f t="shared" si="1"/>
        <v>0</v>
      </c>
      <c r="F65" s="13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3">
      <c r="A66" s="191" t="s">
        <v>210</v>
      </c>
      <c r="B66" s="134">
        <f>E5*'Page 3-Assumptions'!$B$55</f>
        <v>0</v>
      </c>
      <c r="C66" s="130"/>
      <c r="D66" s="144"/>
      <c r="E66" s="132">
        <f t="shared" si="1"/>
        <v>0</v>
      </c>
      <c r="F66" s="13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3">
      <c r="A67" s="191" t="s">
        <v>211</v>
      </c>
      <c r="B67" s="131">
        <f>'Page 8-Year 4'!B67*1.05</f>
        <v>0</v>
      </c>
      <c r="C67" s="130"/>
      <c r="D67" s="195"/>
      <c r="E67" s="132">
        <f t="shared" si="1"/>
        <v>0</v>
      </c>
      <c r="F67" s="13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3">
      <c r="A68" s="191" t="s">
        <v>212</v>
      </c>
      <c r="B68" s="131">
        <f>'Page 8-Year 4'!B68*1.043</f>
        <v>0</v>
      </c>
      <c r="C68" s="130"/>
      <c r="D68" s="144"/>
      <c r="E68" s="132">
        <f t="shared" si="1"/>
        <v>0</v>
      </c>
      <c r="F68" s="135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3">
      <c r="A69" s="129" t="s">
        <v>213</v>
      </c>
      <c r="B69" s="131">
        <f>'Page 8-Year 4'!B69</f>
        <v>0</v>
      </c>
      <c r="C69" s="130"/>
      <c r="D69" s="130"/>
      <c r="E69" s="132">
        <f t="shared" si="1"/>
        <v>0</v>
      </c>
      <c r="F69" s="135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3">
      <c r="A70" s="191" t="s">
        <v>214</v>
      </c>
      <c r="B70" s="131">
        <f>'Page 8-Year 4'!B70*1.05</f>
        <v>0</v>
      </c>
      <c r="C70" s="130"/>
      <c r="D70" s="144"/>
      <c r="E70" s="132">
        <f t="shared" si="1"/>
        <v>0</v>
      </c>
      <c r="F70" s="13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3">
      <c r="A71" s="191" t="s">
        <v>215</v>
      </c>
      <c r="B71" s="131">
        <f>'Page 8-Year 4'!B71*1.05</f>
        <v>0</v>
      </c>
      <c r="C71" s="130"/>
      <c r="D71" s="144"/>
      <c r="E71" s="132">
        <f t="shared" si="1"/>
        <v>0</v>
      </c>
      <c r="F71" s="135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3">
      <c r="A72" s="191" t="s">
        <v>216</v>
      </c>
      <c r="B72" s="134">
        <f>'Page 3-Assumptions'!$B$56*'Page 1-Enrollment Plan'!F20</f>
        <v>0</v>
      </c>
      <c r="C72" s="130"/>
      <c r="D72" s="144"/>
      <c r="E72" s="132">
        <f t="shared" si="1"/>
        <v>0</v>
      </c>
      <c r="F72" s="13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3">
      <c r="A73" s="191" t="s">
        <v>217</v>
      </c>
      <c r="B73" s="130">
        <v>0</v>
      </c>
      <c r="C73" s="130"/>
      <c r="D73" s="144"/>
      <c r="E73" s="132">
        <f t="shared" si="1"/>
        <v>0</v>
      </c>
      <c r="F73" s="13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3">
      <c r="A74" s="191" t="s">
        <v>218</v>
      </c>
      <c r="B74" s="134">
        <f>('Page 3-Assumptions'!$B$57*'Page 1-Enrollment Plan'!F20)</f>
        <v>0</v>
      </c>
      <c r="C74" s="130"/>
      <c r="D74" s="144"/>
      <c r="E74" s="132">
        <f t="shared" si="1"/>
        <v>0</v>
      </c>
      <c r="F74" s="13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3">
      <c r="A75" s="129" t="s">
        <v>219</v>
      </c>
      <c r="B75" s="146"/>
      <c r="C75" s="130"/>
      <c r="D75" s="194"/>
      <c r="E75" s="132">
        <f t="shared" si="1"/>
        <v>0</v>
      </c>
      <c r="F75" s="13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3">
      <c r="A76" s="178" t="s">
        <v>220</v>
      </c>
      <c r="B76" s="139">
        <f>SUM(B34:B75)</f>
        <v>1856600.25</v>
      </c>
      <c r="C76" s="139">
        <f>SUM(C34:C75)</f>
        <v>0</v>
      </c>
      <c r="D76" s="139">
        <f>SUM(D34:D75)</f>
        <v>0</v>
      </c>
      <c r="E76" s="139">
        <f>SUM(E34:E75)</f>
        <v>1856600.25</v>
      </c>
      <c r="F76" s="13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3">
      <c r="A77" s="41"/>
      <c r="B77" s="141"/>
      <c r="C77" s="141"/>
      <c r="D77" s="141"/>
      <c r="E77" s="142"/>
      <c r="F77" s="13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3">
      <c r="A78" s="190" t="s">
        <v>221</v>
      </c>
      <c r="B78" s="139">
        <f>B31-B76</f>
        <v>-1856100.25</v>
      </c>
      <c r="C78" s="139">
        <f>C31-C76</f>
        <v>1500</v>
      </c>
      <c r="D78" s="139">
        <f>D31-D76</f>
        <v>0</v>
      </c>
      <c r="E78" s="139">
        <f>E31-E76</f>
        <v>-1854600.25</v>
      </c>
      <c r="F78" s="13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3">
      <c r="A79" s="41"/>
      <c r="B79" s="141"/>
      <c r="C79" s="141"/>
      <c r="D79" s="141"/>
      <c r="E79" s="142"/>
      <c r="F79" s="13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3">
      <c r="A80" s="150" t="s">
        <v>237</v>
      </c>
      <c r="B80" s="141"/>
      <c r="C80" s="141"/>
      <c r="D80" s="151"/>
      <c r="E80" s="142"/>
      <c r="F80" s="13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3">
      <c r="A81" s="136" t="s">
        <v>223</v>
      </c>
      <c r="B81" s="141">
        <v>0</v>
      </c>
      <c r="C81" s="141"/>
      <c r="D81" s="151"/>
      <c r="E81" s="142">
        <f>B81+C81+D81</f>
        <v>0</v>
      </c>
      <c r="F81" s="135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3">
      <c r="A82" s="155" t="s">
        <v>238</v>
      </c>
      <c r="B82" s="182">
        <f>-(3%*(B31-((SUM(B15:B23)))))-('Page 5-Year 1'!B82+'Page 6-Year 2'!B82+'Page 7-Year 3'!B82+'Page 8-Year 4'!B82)</f>
        <v>0</v>
      </c>
      <c r="C82" s="141"/>
      <c r="D82" s="141"/>
      <c r="E82" s="142">
        <f>SUM(B82:D82)</f>
        <v>0</v>
      </c>
      <c r="F82" s="13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3">
      <c r="A83" s="178" t="s">
        <v>225</v>
      </c>
      <c r="B83" s="172">
        <f>SUM(B78:B82)</f>
        <v>-1856100.25</v>
      </c>
      <c r="C83" s="172">
        <f>SUM(C78:C82)</f>
        <v>1500</v>
      </c>
      <c r="D83" s="172">
        <f>SUM(D78:D82)</f>
        <v>0</v>
      </c>
      <c r="E83" s="172">
        <f>SUM(E78:E82)</f>
        <v>-1854600.25</v>
      </c>
      <c r="F83" s="13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3">
      <c r="A84" s="173"/>
      <c r="B84" s="174"/>
      <c r="C84" s="174"/>
      <c r="D84" s="174"/>
      <c r="E84" s="175"/>
      <c r="F84" s="118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3">
      <c r="A85" s="41" t="s">
        <v>226</v>
      </c>
      <c r="B85" s="174"/>
      <c r="C85" s="174"/>
      <c r="D85" s="174"/>
      <c r="E85" s="154">
        <f>'Page 8-Year 4'!E86</f>
        <v>-4262455.5</v>
      </c>
      <c r="F85" s="118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3">
      <c r="A86" s="41" t="s">
        <v>227</v>
      </c>
      <c r="B86" s="174"/>
      <c r="C86" s="174"/>
      <c r="D86" s="174"/>
      <c r="E86" s="154">
        <f>E78+E81+E85</f>
        <v>-6117055.75</v>
      </c>
      <c r="F86" s="118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3">
      <c r="A87" s="155" t="s">
        <v>228</v>
      </c>
      <c r="B87" s="174"/>
      <c r="C87" s="174"/>
      <c r="D87" s="174"/>
      <c r="E87" s="151">
        <f>'Page 8-Year 4'!E87-E82</f>
        <v>0</v>
      </c>
      <c r="F87" s="118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3">
      <c r="A88" s="155" t="s">
        <v>229</v>
      </c>
      <c r="B88" s="174"/>
      <c r="C88" s="174"/>
      <c r="D88" s="174"/>
      <c r="E88" s="151">
        <f>E86-E87</f>
        <v>-6117055.75</v>
      </c>
      <c r="F88" s="118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3">
      <c r="A89" s="176" t="s">
        <v>230</v>
      </c>
      <c r="B89" s="26"/>
      <c r="C89" s="26"/>
      <c r="D89" s="26"/>
      <c r="E89" s="156">
        <f>E88/E76</f>
        <v>-3.2947618907193403</v>
      </c>
      <c r="F89" s="118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3">
      <c r="A90" s="157"/>
      <c r="B90" s="29"/>
      <c r="C90" s="29"/>
      <c r="D90" s="29"/>
      <c r="E90" s="30"/>
      <c r="F90" s="189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</sheetData>
  <mergeCells count="1">
    <mergeCell ref="B3:E3"/>
  </mergeCells>
  <phoneticPr fontId="46" type="noConversion"/>
  <printOptions horizontalCentered="1"/>
  <pageMargins left="0.25" right="0.25" top="0.42013888888888901" bottom="0.69027777777777799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6"/>
  <sheetViews>
    <sheetView zoomScale="110" zoomScaleNormal="110" zoomScalePageLayoutView="110" workbookViewId="0">
      <selection activeCell="C22" sqref="C22"/>
    </sheetView>
  </sheetViews>
  <sheetFormatPr defaultColWidth="8.88671875" defaultRowHeight="13.2" x14ac:dyDescent="0.25"/>
  <cols>
    <col min="1" max="1" width="36.44140625" customWidth="1"/>
    <col min="2" max="7" width="12.88671875" customWidth="1"/>
    <col min="8" max="8" width="0.6640625" customWidth="1"/>
    <col min="9" max="9" width="11.44140625" customWidth="1"/>
    <col min="10" max="26" width="8.6640625" customWidth="1"/>
    <col min="27" max="1025" width="14.44140625" customWidth="1"/>
  </cols>
  <sheetData>
    <row r="1" spans="1:26" ht="18" x14ac:dyDescent="0.35">
      <c r="A1" s="196">
        <f>'Page 3-Assumptions'!A1</f>
        <v>0</v>
      </c>
      <c r="B1" s="197"/>
      <c r="C1" s="197"/>
      <c r="D1" s="197"/>
      <c r="E1" s="197"/>
      <c r="F1" s="197"/>
      <c r="G1" s="197"/>
      <c r="H1" s="19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x14ac:dyDescent="0.35">
      <c r="A2" s="199" t="s">
        <v>240</v>
      </c>
      <c r="B2" s="26"/>
      <c r="C2" s="26"/>
      <c r="D2" s="26"/>
      <c r="E2" s="26"/>
      <c r="F2" s="26"/>
      <c r="G2" s="26"/>
      <c r="H2" s="20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25" customHeight="1" x14ac:dyDescent="0.35">
      <c r="A3" s="199"/>
      <c r="B3" s="26"/>
      <c r="C3" s="26" t="s">
        <v>26</v>
      </c>
      <c r="D3" s="26"/>
      <c r="E3" s="26"/>
      <c r="F3" s="26"/>
      <c r="G3" s="26"/>
      <c r="H3" s="20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 x14ac:dyDescent="0.25">
      <c r="A4" s="201"/>
      <c r="B4" s="202" t="s">
        <v>241</v>
      </c>
      <c r="C4" s="202" t="s">
        <v>34</v>
      </c>
      <c r="D4" s="202" t="s">
        <v>35</v>
      </c>
      <c r="E4" s="202" t="s">
        <v>36</v>
      </c>
      <c r="F4" s="202" t="s">
        <v>37</v>
      </c>
      <c r="G4" s="202" t="s">
        <v>38</v>
      </c>
      <c r="H4" s="203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</row>
    <row r="5" spans="1:26" ht="12.75" customHeight="1" x14ac:dyDescent="0.25">
      <c r="A5" s="205" t="s">
        <v>159</v>
      </c>
      <c r="B5" s="202"/>
      <c r="C5" s="206">
        <f>'Page 5-Year 1'!E5</f>
        <v>0</v>
      </c>
      <c r="D5" s="206">
        <f>'Page 6-Year 2'!E5</f>
        <v>0</v>
      </c>
      <c r="E5" s="206">
        <f>'Page 7-Year 3'!E5</f>
        <v>0</v>
      </c>
      <c r="F5" s="206">
        <f>'Page 8-Year 4'!E5</f>
        <v>0</v>
      </c>
      <c r="G5" s="206">
        <f>'Page 9-Year 5'!E5</f>
        <v>0</v>
      </c>
      <c r="H5" s="203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</row>
    <row r="6" spans="1:26" ht="12.75" customHeight="1" x14ac:dyDescent="0.25">
      <c r="A6" s="205" t="s">
        <v>160</v>
      </c>
      <c r="B6" s="206" t="str">
        <f>'Page 4-Year 0'!E6</f>
        <v>N/A</v>
      </c>
      <c r="C6" s="206">
        <f>'Page 5-Year 1'!E6</f>
        <v>0</v>
      </c>
      <c r="D6" s="206">
        <f>'Page 6-Year 2'!E6</f>
        <v>0</v>
      </c>
      <c r="E6" s="206">
        <f>'Page 7-Year 3'!E6</f>
        <v>0</v>
      </c>
      <c r="F6" s="206">
        <f>'Page 8-Year 4'!E6</f>
        <v>0</v>
      </c>
      <c r="G6" s="206">
        <f>'Page 9-Year 5'!E6</f>
        <v>0</v>
      </c>
      <c r="H6" s="203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</row>
    <row r="7" spans="1:26" ht="13.5" customHeight="1" x14ac:dyDescent="0.25">
      <c r="A7" s="201" t="s">
        <v>63</v>
      </c>
      <c r="B7" s="164"/>
      <c r="C7" s="164"/>
      <c r="D7" s="164"/>
      <c r="E7" s="164"/>
      <c r="F7" s="207"/>
      <c r="G7" s="164"/>
      <c r="H7" s="203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</row>
    <row r="8" spans="1:26" ht="12.75" customHeight="1" x14ac:dyDescent="0.25">
      <c r="A8" s="208" t="s">
        <v>161</v>
      </c>
      <c r="B8" s="209">
        <f>'Page 4-Year 0'!E8</f>
        <v>0</v>
      </c>
      <c r="C8" s="209">
        <f>'Page 5-Year 1'!E8</f>
        <v>0</v>
      </c>
      <c r="D8" s="209">
        <f>'Page 6-Year 2'!E8</f>
        <v>0</v>
      </c>
      <c r="E8" s="209">
        <f>'Page 7-Year 3'!E8</f>
        <v>0</v>
      </c>
      <c r="F8" s="209">
        <f>'Page 8-Year 4'!E8</f>
        <v>0</v>
      </c>
      <c r="G8" s="209">
        <f>'Page 9-Year 5'!E8</f>
        <v>0</v>
      </c>
      <c r="H8" s="210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</row>
    <row r="9" spans="1:26" ht="12.75" customHeight="1" x14ac:dyDescent="0.25">
      <c r="A9" s="208" t="s">
        <v>162</v>
      </c>
      <c r="B9" s="212">
        <f>'Page 4-Year 0'!E9</f>
        <v>0</v>
      </c>
      <c r="C9" s="212">
        <f>'Page 5-Year 1'!E9</f>
        <v>0</v>
      </c>
      <c r="D9" s="212">
        <f>'Page 6-Year 2'!E9</f>
        <v>0</v>
      </c>
      <c r="E9" s="212">
        <f>'Page 7-Year 3'!E9</f>
        <v>0</v>
      </c>
      <c r="F9" s="212">
        <f>'Page 8-Year 4'!E9</f>
        <v>0</v>
      </c>
      <c r="G9" s="212">
        <f>'Page 9-Year 5'!E9</f>
        <v>0</v>
      </c>
      <c r="H9" s="210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</row>
    <row r="10" spans="1:26" ht="12.75" customHeight="1" x14ac:dyDescent="0.25">
      <c r="A10" s="208" t="s">
        <v>242</v>
      </c>
      <c r="B10" s="212">
        <f>'Page 4-Year 0'!E10</f>
        <v>0</v>
      </c>
      <c r="C10" s="212">
        <f>'Page 5-Year 1'!E10</f>
        <v>0</v>
      </c>
      <c r="D10" s="212">
        <f>'Page 6-Year 2'!E10</f>
        <v>0</v>
      </c>
      <c r="E10" s="212">
        <f>'Page 7-Year 3'!E10</f>
        <v>0</v>
      </c>
      <c r="F10" s="212">
        <f>'Page 8-Year 4'!E10</f>
        <v>0</v>
      </c>
      <c r="G10" s="212">
        <f>'Page 9-Year 5'!E10</f>
        <v>0</v>
      </c>
      <c r="H10" s="210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</row>
    <row r="11" spans="1:26" ht="12.75" customHeight="1" x14ac:dyDescent="0.25">
      <c r="A11" s="208" t="s">
        <v>164</v>
      </c>
      <c r="B11" s="212">
        <f>'Page 4-Year 0'!E11</f>
        <v>0</v>
      </c>
      <c r="C11" s="212">
        <f>'Page 5-Year 1'!E11</f>
        <v>0</v>
      </c>
      <c r="D11" s="212">
        <f>'Page 6-Year 2'!E11</f>
        <v>0</v>
      </c>
      <c r="E11" s="212">
        <f>'Page 7-Year 3'!E11</f>
        <v>0</v>
      </c>
      <c r="F11" s="212">
        <f>'Page 8-Year 4'!E11</f>
        <v>0</v>
      </c>
      <c r="G11" s="212">
        <f>'Page 9-Year 5'!E11</f>
        <v>0</v>
      </c>
      <c r="H11" s="210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</row>
    <row r="12" spans="1:26" ht="12.75" customHeight="1" x14ac:dyDescent="0.25">
      <c r="A12" s="208" t="s">
        <v>165</v>
      </c>
      <c r="B12" s="212">
        <f>'Page 4-Year 0'!E12</f>
        <v>0</v>
      </c>
      <c r="C12" s="212">
        <f>'Page 5-Year 1'!E12</f>
        <v>0</v>
      </c>
      <c r="D12" s="212">
        <f>'Page 6-Year 2'!E12</f>
        <v>0</v>
      </c>
      <c r="E12" s="212">
        <f>'Page 7-Year 3'!E12</f>
        <v>0</v>
      </c>
      <c r="F12" s="212">
        <f>'Page 8-Year 4'!E12</f>
        <v>0</v>
      </c>
      <c r="G12" s="212">
        <f>'Page 9-Year 5'!E12</f>
        <v>0</v>
      </c>
      <c r="H12" s="210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</row>
    <row r="13" spans="1:26" ht="12.75" customHeight="1" x14ac:dyDescent="0.25">
      <c r="A13" s="208" t="s">
        <v>166</v>
      </c>
      <c r="B13" s="212">
        <f>'Page 4-Year 0'!E13</f>
        <v>0</v>
      </c>
      <c r="C13" s="212">
        <f>'Page 5-Year 1'!E13</f>
        <v>0</v>
      </c>
      <c r="D13" s="212">
        <f>'Page 6-Year 2'!E13</f>
        <v>0</v>
      </c>
      <c r="E13" s="212">
        <f>'Page 7-Year 3'!E13</f>
        <v>0</v>
      </c>
      <c r="F13" s="212">
        <f>'Page 8-Year 4'!E13</f>
        <v>0</v>
      </c>
      <c r="G13" s="212">
        <f>'Page 9-Year 5'!E13</f>
        <v>0</v>
      </c>
      <c r="H13" s="210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</row>
    <row r="14" spans="1:26" ht="12.75" customHeight="1" x14ac:dyDescent="0.25">
      <c r="A14" s="208" t="s">
        <v>167</v>
      </c>
      <c r="B14" s="212">
        <f>'Page 4-Year 0'!E14</f>
        <v>0</v>
      </c>
      <c r="C14" s="212">
        <f>'Page 5-Year 1'!E14</f>
        <v>0</v>
      </c>
      <c r="D14" s="212">
        <f>'Page 6-Year 2'!E14</f>
        <v>0</v>
      </c>
      <c r="E14" s="212">
        <f>'Page 7-Year 3'!E14</f>
        <v>0</v>
      </c>
      <c r="F14" s="212">
        <f>'Page 8-Year 4'!E14</f>
        <v>0</v>
      </c>
      <c r="G14" s="212">
        <f>'Page 9-Year 5'!E14</f>
        <v>0</v>
      </c>
      <c r="H14" s="210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</row>
    <row r="15" spans="1:26" ht="12.75" customHeight="1" x14ac:dyDescent="0.25">
      <c r="A15" s="213" t="s">
        <v>168</v>
      </c>
      <c r="B15" s="212">
        <f>'Page 4-Year 0'!E15</f>
        <v>0</v>
      </c>
      <c r="C15" s="212">
        <f>'Page 5-Year 1'!E15</f>
        <v>0</v>
      </c>
      <c r="D15" s="212">
        <f>'Page 6-Year 2'!E15</f>
        <v>0</v>
      </c>
      <c r="E15" s="212">
        <f>'Page 7-Year 3'!E15</f>
        <v>0</v>
      </c>
      <c r="F15" s="212">
        <f>'Page 8-Year 4'!E15</f>
        <v>0</v>
      </c>
      <c r="G15" s="212">
        <f>'Page 9-Year 5'!E15</f>
        <v>0</v>
      </c>
      <c r="H15" s="210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</row>
    <row r="16" spans="1:26" ht="12.75" customHeight="1" x14ac:dyDescent="0.25">
      <c r="A16" s="213" t="s">
        <v>169</v>
      </c>
      <c r="B16" s="212">
        <f>'Page 4-Year 0'!E16</f>
        <v>0</v>
      </c>
      <c r="C16" s="212">
        <f>'Page 5-Year 1'!E16</f>
        <v>0</v>
      </c>
      <c r="D16" s="212">
        <f>'Page 6-Year 2'!E16</f>
        <v>0</v>
      </c>
      <c r="E16" s="212">
        <f>'Page 7-Year 3'!E16</f>
        <v>0</v>
      </c>
      <c r="F16" s="212">
        <f>'Page 8-Year 4'!E16</f>
        <v>0</v>
      </c>
      <c r="G16" s="212">
        <f>'Page 9-Year 5'!E16</f>
        <v>0</v>
      </c>
      <c r="H16" s="210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26" ht="12.75" customHeight="1" x14ac:dyDescent="0.25">
      <c r="A17" s="213" t="s">
        <v>170</v>
      </c>
      <c r="B17" s="212">
        <f>'Page 4-Year 0'!E17</f>
        <v>0</v>
      </c>
      <c r="C17" s="212">
        <f>'Page 5-Year 1'!E17</f>
        <v>0</v>
      </c>
      <c r="D17" s="212">
        <f>'Page 6-Year 2'!E17</f>
        <v>0</v>
      </c>
      <c r="E17" s="212">
        <f>'Page 7-Year 3'!E17</f>
        <v>0</v>
      </c>
      <c r="F17" s="212">
        <f>'Page 8-Year 4'!E17</f>
        <v>0</v>
      </c>
      <c r="G17" s="212">
        <f>'Page 9-Year 5'!E17</f>
        <v>0</v>
      </c>
      <c r="H17" s="210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</row>
    <row r="18" spans="1:26" ht="12.75" customHeight="1" x14ac:dyDescent="0.25">
      <c r="A18" s="208" t="s">
        <v>171</v>
      </c>
      <c r="B18" s="212">
        <f>'Page 4-Year 0'!E18</f>
        <v>0</v>
      </c>
      <c r="C18" s="212">
        <f>'Page 5-Year 1'!E18</f>
        <v>0</v>
      </c>
      <c r="D18" s="212">
        <f>'Page 6-Year 2'!E18</f>
        <v>0</v>
      </c>
      <c r="E18" s="212">
        <f>'Page 7-Year 3'!E18</f>
        <v>0</v>
      </c>
      <c r="F18" s="212">
        <f>'Page 8-Year 4'!E18</f>
        <v>0</v>
      </c>
      <c r="G18" s="212">
        <f>'Page 9-Year 5'!E18</f>
        <v>0</v>
      </c>
      <c r="H18" s="210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</row>
    <row r="19" spans="1:26" ht="12.75" customHeight="1" x14ac:dyDescent="0.25">
      <c r="A19" s="208" t="s">
        <v>90</v>
      </c>
      <c r="B19" s="212">
        <f>'Page 4-Year 0'!E19</f>
        <v>0</v>
      </c>
      <c r="C19" s="212">
        <f>'Page 5-Year 1'!E19</f>
        <v>500</v>
      </c>
      <c r="D19" s="212">
        <f>'Page 6-Year 2'!E19</f>
        <v>500</v>
      </c>
      <c r="E19" s="212">
        <f>'Page 7-Year 3'!E19</f>
        <v>500</v>
      </c>
      <c r="F19" s="212">
        <f>'Page 8-Year 4'!E19</f>
        <v>500</v>
      </c>
      <c r="G19" s="212">
        <f>'Page 9-Year 5'!E19</f>
        <v>500</v>
      </c>
      <c r="H19" s="210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</row>
    <row r="20" spans="1:26" ht="12.75" customHeight="1" x14ac:dyDescent="0.25">
      <c r="A20" s="208" t="s">
        <v>172</v>
      </c>
      <c r="B20" s="212">
        <f>'Page 4-Year 0'!E20</f>
        <v>0</v>
      </c>
      <c r="C20" s="212">
        <f>'Page 5-Year 1'!E20</f>
        <v>0</v>
      </c>
      <c r="D20" s="212">
        <f>'Page 6-Year 2'!E20</f>
        <v>0</v>
      </c>
      <c r="E20" s="212">
        <f>'Page 7-Year 3'!E20</f>
        <v>0</v>
      </c>
      <c r="F20" s="212">
        <f>'Page 8-Year 4'!E20</f>
        <v>0</v>
      </c>
      <c r="G20" s="212">
        <f>'Page 9-Year 5'!E20</f>
        <v>0</v>
      </c>
      <c r="H20" s="210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</row>
    <row r="21" spans="1:26" ht="12.75" customHeight="1" x14ac:dyDescent="0.25">
      <c r="A21" s="208" t="s">
        <v>94</v>
      </c>
      <c r="B21" s="212">
        <f>'Page 4-Year 0'!E21</f>
        <v>0</v>
      </c>
      <c r="C21" s="212">
        <f>'Page 5-Year 1'!E21</f>
        <v>0</v>
      </c>
      <c r="D21" s="212">
        <f>'Page 6-Year 2'!E21</f>
        <v>0</v>
      </c>
      <c r="E21" s="212">
        <f>'Page 7-Year 3'!E21</f>
        <v>0</v>
      </c>
      <c r="F21" s="212">
        <f>'Page 8-Year 4'!E21</f>
        <v>0</v>
      </c>
      <c r="G21" s="212">
        <f>'Page 9-Year 5'!E21</f>
        <v>0</v>
      </c>
      <c r="H21" s="210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</row>
    <row r="22" spans="1:26" ht="12.75" customHeight="1" x14ac:dyDescent="0.25">
      <c r="A22" s="208" t="s">
        <v>311</v>
      </c>
      <c r="B22" s="212">
        <f>'Page 4-Year 0'!E22</f>
        <v>0</v>
      </c>
      <c r="C22" s="212">
        <f>'Page 5-Year 1'!E22</f>
        <v>0</v>
      </c>
      <c r="D22" s="212">
        <f>'Page 6-Year 2'!E22</f>
        <v>0</v>
      </c>
      <c r="E22" s="212">
        <f>'Page 7-Year 3'!E22</f>
        <v>0</v>
      </c>
      <c r="F22" s="212">
        <f>'Page 8-Year 4'!E22</f>
        <v>0</v>
      </c>
      <c r="G22" s="212">
        <f>'Page 9-Year 5'!E22</f>
        <v>0</v>
      </c>
      <c r="H22" s="210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</row>
    <row r="23" spans="1:26" ht="12.75" customHeight="1" x14ac:dyDescent="0.25">
      <c r="A23" s="208" t="s">
        <v>99</v>
      </c>
      <c r="B23" s="212">
        <f>'Page 4-Year 0'!E23</f>
        <v>0</v>
      </c>
      <c r="C23" s="212">
        <f>'Page 5-Year 1'!E23</f>
        <v>0</v>
      </c>
      <c r="D23" s="212">
        <f>'Page 6-Year 2'!E23</f>
        <v>0</v>
      </c>
      <c r="E23" s="212">
        <f>'Page 7-Year 3'!E23</f>
        <v>0</v>
      </c>
      <c r="F23" s="212">
        <f>'Page 8-Year 4'!E23</f>
        <v>0</v>
      </c>
      <c r="G23" s="212">
        <f>'Page 9-Year 5'!E23</f>
        <v>0</v>
      </c>
      <c r="H23" s="210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</row>
    <row r="24" spans="1:26" ht="12.75" customHeight="1" x14ac:dyDescent="0.25">
      <c r="A24" s="208" t="s">
        <v>173</v>
      </c>
      <c r="B24" s="212">
        <f>'Page 4-Year 0'!E24</f>
        <v>0</v>
      </c>
      <c r="C24" s="212">
        <f>'Page 5-Year 1'!E24</f>
        <v>0</v>
      </c>
      <c r="D24" s="212">
        <f>'Page 6-Year 2'!E24</f>
        <v>0</v>
      </c>
      <c r="E24" s="212">
        <f>'Page 7-Year 3'!E24</f>
        <v>0</v>
      </c>
      <c r="F24" s="212">
        <f>'Page 8-Year 4'!E24</f>
        <v>0</v>
      </c>
      <c r="G24" s="212">
        <f>'Page 9-Year 5'!E24</f>
        <v>0</v>
      </c>
      <c r="H24" s="210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</row>
    <row r="25" spans="1:26" ht="12.75" customHeight="1" x14ac:dyDescent="0.25">
      <c r="A25" s="208" t="s">
        <v>103</v>
      </c>
      <c r="B25" s="212">
        <f>'Page 4-Year 0'!E25</f>
        <v>0</v>
      </c>
      <c r="C25" s="212">
        <f>'Page 5-Year 1'!E25</f>
        <v>0</v>
      </c>
      <c r="D25" s="212">
        <f>'Page 6-Year 2'!E25</f>
        <v>0</v>
      </c>
      <c r="E25" s="212">
        <f>'Page 7-Year 3'!E25</f>
        <v>0</v>
      </c>
      <c r="F25" s="212">
        <f>'Page 8-Year 4'!E25</f>
        <v>0</v>
      </c>
      <c r="G25" s="212">
        <f>'Page 9-Year 5'!E25</f>
        <v>0</v>
      </c>
      <c r="H25" s="210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</row>
    <row r="26" spans="1:26" ht="12.75" customHeight="1" x14ac:dyDescent="0.3">
      <c r="A26" s="129" t="s">
        <v>303</v>
      </c>
      <c r="B26" s="212">
        <f>'Page 4-Year 0'!E26</f>
        <v>0</v>
      </c>
      <c r="C26" s="212">
        <f>'Page 5-Year 1'!E26</f>
        <v>1500</v>
      </c>
      <c r="D26" s="212">
        <f>'Page 6-Year 2'!E26</f>
        <v>1500</v>
      </c>
      <c r="E26" s="212">
        <f>'Page 7-Year 3'!E26</f>
        <v>1500</v>
      </c>
      <c r="F26" s="212">
        <f>'Page 8-Year 4'!E26</f>
        <v>1500</v>
      </c>
      <c r="G26" s="212">
        <f>'Page 9-Year 5'!E26</f>
        <v>1500</v>
      </c>
      <c r="H26" s="210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</row>
    <row r="27" spans="1:26" ht="12.75" customHeight="1" x14ac:dyDescent="0.25">
      <c r="A27" s="208" t="s">
        <v>174</v>
      </c>
      <c r="B27" s="212">
        <f>'Page 4-Year 0'!E27</f>
        <v>0</v>
      </c>
      <c r="C27" s="212">
        <f>'Page 5-Year 1'!E27</f>
        <v>0</v>
      </c>
      <c r="D27" s="212">
        <f>'Page 6-Year 2'!E27</f>
        <v>0</v>
      </c>
      <c r="E27" s="212">
        <f>'Page 7-Year 3'!E27</f>
        <v>0</v>
      </c>
      <c r="F27" s="212">
        <f>'Page 8-Year 4'!E27</f>
        <v>0</v>
      </c>
      <c r="G27" s="214">
        <f>'Page 9-Year 5'!E27</f>
        <v>0</v>
      </c>
      <c r="H27" s="210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</row>
    <row r="28" spans="1:26" ht="12.75" customHeight="1" x14ac:dyDescent="0.25">
      <c r="A28" s="208" t="s">
        <v>175</v>
      </c>
      <c r="B28" s="212">
        <f>'Page 4-Year 0'!E28</f>
        <v>0</v>
      </c>
      <c r="C28" s="212">
        <f>'Page 5-Year 1'!E28</f>
        <v>0</v>
      </c>
      <c r="D28" s="212">
        <f>'Page 6-Year 2'!E28</f>
        <v>0</v>
      </c>
      <c r="E28" s="212">
        <f>'Page 7-Year 3'!E28</f>
        <v>0</v>
      </c>
      <c r="F28" s="212">
        <f>'Page 8-Year 4'!E28</f>
        <v>0</v>
      </c>
      <c r="G28" s="214">
        <f>'Page 9-Year 5'!E28</f>
        <v>0</v>
      </c>
      <c r="H28" s="210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</row>
    <row r="29" spans="1:26" ht="12.75" customHeight="1" x14ac:dyDescent="0.25">
      <c r="A29" s="208" t="s">
        <v>67</v>
      </c>
      <c r="B29" s="212">
        <f>'Page 4-Year 0'!E29</f>
        <v>0</v>
      </c>
      <c r="C29" s="212">
        <f>'Page 5-Year 1'!E29</f>
        <v>0</v>
      </c>
      <c r="D29" s="212">
        <f>'Page 6-Year 2'!E29</f>
        <v>0</v>
      </c>
      <c r="E29" s="212">
        <f>'Page 7-Year 3'!E29</f>
        <v>0</v>
      </c>
      <c r="F29" s="212">
        <f>'Page 8-Year 4'!E29</f>
        <v>0</v>
      </c>
      <c r="G29" s="212">
        <f>'Page 9-Year 5'!E29</f>
        <v>0</v>
      </c>
      <c r="H29" s="210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</row>
    <row r="30" spans="1:26" ht="12.75" customHeight="1" x14ac:dyDescent="0.25">
      <c r="A30" s="213" t="s">
        <v>176</v>
      </c>
      <c r="B30" s="215">
        <f>'Page 4-Year 0'!E30</f>
        <v>0</v>
      </c>
      <c r="C30" s="215">
        <f>'Page 5-Year 1'!E30</f>
        <v>0</v>
      </c>
      <c r="D30" s="215">
        <f>'Page 6-Year 2'!E30</f>
        <v>0</v>
      </c>
      <c r="E30" s="215">
        <f>'Page 7-Year 3'!E30</f>
        <v>0</v>
      </c>
      <c r="F30" s="215">
        <f>'Page 8-Year 4'!E30</f>
        <v>0</v>
      </c>
      <c r="G30" s="215">
        <f>'Page 9-Year 5'!E30</f>
        <v>0</v>
      </c>
      <c r="H30" s="210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</row>
    <row r="31" spans="1:26" ht="12.75" customHeight="1" x14ac:dyDescent="0.25">
      <c r="A31" s="216" t="s">
        <v>177</v>
      </c>
      <c r="B31" s="209">
        <f t="shared" ref="B31:G31" si="0">SUM(B8:B30)</f>
        <v>0</v>
      </c>
      <c r="C31" s="209">
        <f t="shared" si="0"/>
        <v>2000</v>
      </c>
      <c r="D31" s="209">
        <f t="shared" si="0"/>
        <v>2000</v>
      </c>
      <c r="E31" s="209">
        <f t="shared" si="0"/>
        <v>2000</v>
      </c>
      <c r="F31" s="209">
        <f t="shared" si="0"/>
        <v>2000</v>
      </c>
      <c r="G31" s="209">
        <f t="shared" si="0"/>
        <v>2000</v>
      </c>
      <c r="H31" s="210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</row>
    <row r="32" spans="1:26" ht="12.75" customHeight="1" x14ac:dyDescent="0.25">
      <c r="A32" s="217"/>
      <c r="B32" s="212"/>
      <c r="C32" s="212"/>
      <c r="D32" s="212"/>
      <c r="E32" s="212"/>
      <c r="F32" s="214"/>
      <c r="G32" s="212"/>
      <c r="H32" s="210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</row>
    <row r="33" spans="1:26" ht="12.75" customHeight="1" x14ac:dyDescent="0.25">
      <c r="A33" s="216" t="s">
        <v>112</v>
      </c>
      <c r="B33" s="212"/>
      <c r="C33" s="212"/>
      <c r="D33" s="212"/>
      <c r="E33" s="212"/>
      <c r="F33" s="212"/>
      <c r="G33" s="212"/>
      <c r="H33" s="210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</row>
    <row r="34" spans="1:26" ht="12.75" customHeight="1" x14ac:dyDescent="0.25">
      <c r="A34" s="218" t="s">
        <v>178</v>
      </c>
      <c r="B34" s="219">
        <f>'Page 4-Year 0'!E34</f>
        <v>0</v>
      </c>
      <c r="C34" s="219">
        <f>'Page 5-Year 1'!E34</f>
        <v>504700</v>
      </c>
      <c r="D34" s="219">
        <f>'Page 6-Year 2'!E34</f>
        <v>731400</v>
      </c>
      <c r="E34" s="219">
        <f>'Page 7-Year 3'!E34</f>
        <v>970100.00000000012</v>
      </c>
      <c r="F34" s="219">
        <f>'Page 8-Year 4'!E34</f>
        <v>1220800</v>
      </c>
      <c r="G34" s="219">
        <f>'Page 9-Year 5'!E34</f>
        <v>1483500</v>
      </c>
      <c r="H34" s="210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</row>
    <row r="35" spans="1:26" ht="12.75" customHeight="1" x14ac:dyDescent="0.25">
      <c r="A35" s="218" t="s">
        <v>239</v>
      </c>
      <c r="B35" s="212">
        <f>'Page 4-Year 0'!E35</f>
        <v>0</v>
      </c>
      <c r="C35" s="212">
        <f>'Page 5-Year 1'!E35</f>
        <v>0</v>
      </c>
      <c r="D35" s="212">
        <f>'Page 6-Year 2'!E35</f>
        <v>0</v>
      </c>
      <c r="E35" s="212">
        <f>'Page 7-Year 3'!E35</f>
        <v>0</v>
      </c>
      <c r="F35" s="212">
        <f>'Page 8-Year 4'!E35</f>
        <v>0</v>
      </c>
      <c r="G35" s="212">
        <f>'Page 9-Year 5'!E35</f>
        <v>0</v>
      </c>
      <c r="H35" s="210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</row>
    <row r="36" spans="1:26" ht="12.75" customHeight="1" x14ac:dyDescent="0.25">
      <c r="A36" s="218" t="s">
        <v>180</v>
      </c>
      <c r="B36" s="212">
        <f>'Page 4-Year 0'!E36</f>
        <v>0</v>
      </c>
      <c r="C36" s="212">
        <f>'Page 5-Year 1'!E36</f>
        <v>7318.15</v>
      </c>
      <c r="D36" s="212">
        <f>'Page 6-Year 2'!E36</f>
        <v>10605.3</v>
      </c>
      <c r="E36" s="212">
        <f>'Page 7-Year 3'!E36</f>
        <v>14066.45</v>
      </c>
      <c r="F36" s="212">
        <f>'Page 8-Year 4'!E36</f>
        <v>17701.599999999999</v>
      </c>
      <c r="G36" s="212">
        <f>'Page 9-Year 5'!E36</f>
        <v>21510.75</v>
      </c>
      <c r="H36" s="210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</row>
    <row r="37" spans="1:26" ht="12.75" customHeight="1" x14ac:dyDescent="0.25">
      <c r="A37" s="218" t="s">
        <v>181</v>
      </c>
      <c r="B37" s="212">
        <f>'Page 4-Year 0'!E37</f>
        <v>0</v>
      </c>
      <c r="C37" s="212">
        <f>'Page 5-Year 1'!E37</f>
        <v>0</v>
      </c>
      <c r="D37" s="212">
        <f>'Page 6-Year 2'!E37</f>
        <v>0</v>
      </c>
      <c r="E37" s="212">
        <f>'Page 7-Year 3'!E37</f>
        <v>0</v>
      </c>
      <c r="F37" s="212">
        <f>'Page 8-Year 4'!E37</f>
        <v>0</v>
      </c>
      <c r="G37" s="212">
        <f>'Page 9-Year 5'!E37</f>
        <v>0</v>
      </c>
      <c r="H37" s="210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</row>
    <row r="38" spans="1:26" ht="12.75" customHeight="1" x14ac:dyDescent="0.25">
      <c r="A38" s="218" t="s">
        <v>182</v>
      </c>
      <c r="B38" s="212">
        <f>'Page 4-Year 0'!E38</f>
        <v>0</v>
      </c>
      <c r="C38" s="212">
        <f>'Page 5-Year 1'!E38</f>
        <v>102958.79999999999</v>
      </c>
      <c r="D38" s="212">
        <f>'Page 6-Year 2'!E38</f>
        <v>151034.1</v>
      </c>
      <c r="E38" s="212">
        <f>'Page 7-Year 3'!E38</f>
        <v>202750.90000000002</v>
      </c>
      <c r="F38" s="212">
        <f>'Page 8-Year 4'!E38</f>
        <v>258199.19999999998</v>
      </c>
      <c r="G38" s="212">
        <f>'Page 9-Year 5'!E38</f>
        <v>317469</v>
      </c>
      <c r="H38" s="210"/>
      <c r="I38" s="211"/>
      <c r="J38" s="220"/>
      <c r="K38" s="220"/>
      <c r="L38" s="220"/>
      <c r="M38" s="220"/>
      <c r="N38" s="220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</row>
    <row r="39" spans="1:26" ht="12.75" customHeight="1" x14ac:dyDescent="0.25">
      <c r="A39" s="218" t="s">
        <v>183</v>
      </c>
      <c r="B39" s="212">
        <f>'Page 4-Year 0'!E39</f>
        <v>0</v>
      </c>
      <c r="C39" s="212">
        <f>'Page 5-Year 1'!E39</f>
        <v>0</v>
      </c>
      <c r="D39" s="212">
        <f>'Page 6-Year 2'!E39</f>
        <v>0</v>
      </c>
      <c r="E39" s="212">
        <f>'Page 7-Year 3'!E39</f>
        <v>0</v>
      </c>
      <c r="F39" s="212">
        <f>'Page 8-Year 4'!E39</f>
        <v>0</v>
      </c>
      <c r="G39" s="212">
        <f>'Page 9-Year 5'!E39</f>
        <v>0</v>
      </c>
      <c r="H39" s="210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</row>
    <row r="40" spans="1:26" ht="12.75" customHeight="1" x14ac:dyDescent="0.25">
      <c r="A40" s="218" t="s">
        <v>184</v>
      </c>
      <c r="B40" s="212">
        <f>'Page 4-Year 0'!E40</f>
        <v>0</v>
      </c>
      <c r="C40" s="212">
        <f>'Page 5-Year 1'!E40</f>
        <v>0</v>
      </c>
      <c r="D40" s="212">
        <f>'Page 6-Year 2'!E40</f>
        <v>0</v>
      </c>
      <c r="E40" s="212">
        <f>'Page 7-Year 3'!E40</f>
        <v>0</v>
      </c>
      <c r="F40" s="212">
        <f>'Page 8-Year 4'!E40</f>
        <v>0</v>
      </c>
      <c r="G40" s="212">
        <f>'Page 9-Year 5'!E40</f>
        <v>0</v>
      </c>
      <c r="H40" s="210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</row>
    <row r="41" spans="1:26" ht="12.75" customHeight="1" x14ac:dyDescent="0.25">
      <c r="A41" s="218" t="s">
        <v>185</v>
      </c>
      <c r="B41" s="212">
        <f>'Page 4-Year 0'!E41</f>
        <v>0</v>
      </c>
      <c r="C41" s="212">
        <f>'Page 5-Year 1'!E41</f>
        <v>0</v>
      </c>
      <c r="D41" s="212">
        <f>'Page 6-Year 2'!E41</f>
        <v>0</v>
      </c>
      <c r="E41" s="212">
        <f>'Page 7-Year 3'!E41</f>
        <v>0</v>
      </c>
      <c r="F41" s="212">
        <f>'Page 8-Year 4'!E41</f>
        <v>0</v>
      </c>
      <c r="G41" s="212">
        <f>'Page 9-Year 5'!E41</f>
        <v>0</v>
      </c>
      <c r="H41" s="210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</row>
    <row r="42" spans="1:26" ht="12.75" customHeight="1" x14ac:dyDescent="0.25">
      <c r="A42" s="221" t="s">
        <v>186</v>
      </c>
      <c r="B42" s="212">
        <f>'Page 4-Year 0'!E42</f>
        <v>0</v>
      </c>
      <c r="C42" s="212">
        <f>'Page 5-Year 1'!E42</f>
        <v>0</v>
      </c>
      <c r="D42" s="212">
        <f>'Page 6-Year 2'!E42</f>
        <v>0</v>
      </c>
      <c r="E42" s="212">
        <f>'Page 7-Year 3'!E42</f>
        <v>0</v>
      </c>
      <c r="F42" s="212">
        <f>'Page 8-Year 4'!E42</f>
        <v>0</v>
      </c>
      <c r="G42" s="212">
        <f>'Page 9-Year 5'!E42</f>
        <v>0</v>
      </c>
      <c r="H42" s="210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</row>
    <row r="43" spans="1:26" ht="12.75" customHeight="1" x14ac:dyDescent="0.25">
      <c r="A43" s="218" t="s">
        <v>187</v>
      </c>
      <c r="B43" s="212">
        <f>'Page 4-Year 0'!E43</f>
        <v>0</v>
      </c>
      <c r="C43" s="212">
        <f>'Page 5-Year 1'!E43</f>
        <v>0</v>
      </c>
      <c r="D43" s="212">
        <f>'Page 6-Year 2'!E43</f>
        <v>0</v>
      </c>
      <c r="E43" s="212">
        <f>'Page 7-Year 3'!E43</f>
        <v>0</v>
      </c>
      <c r="F43" s="212">
        <f>'Page 8-Year 4'!E43</f>
        <v>0</v>
      </c>
      <c r="G43" s="212">
        <f>'Page 9-Year 5'!E43</f>
        <v>0</v>
      </c>
      <c r="H43" s="210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</row>
    <row r="44" spans="1:26" ht="12.75" customHeight="1" x14ac:dyDescent="0.25">
      <c r="A44" s="218" t="s">
        <v>188</v>
      </c>
      <c r="B44" s="212">
        <f>'Page 4-Year 0'!E44</f>
        <v>0</v>
      </c>
      <c r="C44" s="212">
        <f>'Page 5-Year 1'!E44</f>
        <v>0</v>
      </c>
      <c r="D44" s="212">
        <f>'Page 6-Year 2'!E44</f>
        <v>0</v>
      </c>
      <c r="E44" s="212">
        <f>'Page 7-Year 3'!E44</f>
        <v>0</v>
      </c>
      <c r="F44" s="212">
        <f>'Page 8-Year 4'!E44</f>
        <v>0</v>
      </c>
      <c r="G44" s="212">
        <f>'Page 9-Year 5'!E44</f>
        <v>0</v>
      </c>
      <c r="H44" s="210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</row>
    <row r="45" spans="1:26" ht="12.75" customHeight="1" x14ac:dyDescent="0.25">
      <c r="A45" s="218" t="s">
        <v>189</v>
      </c>
      <c r="B45" s="212">
        <f>'Page 4-Year 0'!E45</f>
        <v>0</v>
      </c>
      <c r="C45" s="212">
        <f>'Page 5-Year 1'!E45</f>
        <v>0</v>
      </c>
      <c r="D45" s="212">
        <f>'Page 6-Year 2'!E45</f>
        <v>0</v>
      </c>
      <c r="E45" s="212">
        <f>'Page 7-Year 3'!E45</f>
        <v>0</v>
      </c>
      <c r="F45" s="212">
        <f>'Page 8-Year 4'!E45</f>
        <v>0</v>
      </c>
      <c r="G45" s="212">
        <f>'Page 9-Year 5'!E45</f>
        <v>0</v>
      </c>
      <c r="H45" s="210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</row>
    <row r="46" spans="1:26" ht="12.75" customHeight="1" x14ac:dyDescent="0.25">
      <c r="A46" s="218" t="s">
        <v>190</v>
      </c>
      <c r="B46" s="212">
        <f>'Page 4-Year 0'!E46</f>
        <v>0</v>
      </c>
      <c r="C46" s="212">
        <f>'Page 5-Year 1'!E46</f>
        <v>0</v>
      </c>
      <c r="D46" s="212">
        <f>'Page 6-Year 2'!E46</f>
        <v>0</v>
      </c>
      <c r="E46" s="212">
        <f>'Page 7-Year 3'!E46</f>
        <v>0</v>
      </c>
      <c r="F46" s="212">
        <f>'Page 8-Year 4'!E46</f>
        <v>0</v>
      </c>
      <c r="G46" s="212">
        <f>'Page 9-Year 5'!E46</f>
        <v>0</v>
      </c>
      <c r="H46" s="210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</row>
    <row r="47" spans="1:26" ht="12.75" customHeight="1" x14ac:dyDescent="0.25">
      <c r="A47" s="218" t="s">
        <v>191</v>
      </c>
      <c r="B47" s="212">
        <f>'Page 4-Year 0'!E47</f>
        <v>0</v>
      </c>
      <c r="C47" s="212">
        <f>'Page 5-Year 1'!E47</f>
        <v>0</v>
      </c>
      <c r="D47" s="212">
        <f>'Page 6-Year 2'!E47</f>
        <v>0</v>
      </c>
      <c r="E47" s="212">
        <f>'Page 7-Year 3'!E47</f>
        <v>0</v>
      </c>
      <c r="F47" s="212">
        <f>'Page 8-Year 4'!E47</f>
        <v>0</v>
      </c>
      <c r="G47" s="212">
        <f>'Page 9-Year 5'!E47</f>
        <v>0</v>
      </c>
      <c r="H47" s="210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</row>
    <row r="48" spans="1:26" ht="12.75" customHeight="1" x14ac:dyDescent="0.25">
      <c r="A48" s="218" t="s">
        <v>192</v>
      </c>
      <c r="B48" s="212">
        <f>'Page 4-Year 0'!E48</f>
        <v>0</v>
      </c>
      <c r="C48" s="212">
        <f>'Page 5-Year 1'!E48</f>
        <v>0</v>
      </c>
      <c r="D48" s="212">
        <f>'Page 6-Year 2'!E48</f>
        <v>0</v>
      </c>
      <c r="E48" s="212">
        <f>'Page 7-Year 3'!E48</f>
        <v>0</v>
      </c>
      <c r="F48" s="212">
        <f>'Page 8-Year 4'!E48</f>
        <v>0</v>
      </c>
      <c r="G48" s="212">
        <f>'Page 9-Year 5'!E48</f>
        <v>0</v>
      </c>
      <c r="H48" s="210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</row>
    <row r="49" spans="1:26" ht="12.75" customHeight="1" x14ac:dyDescent="0.25">
      <c r="A49" s="218" t="s">
        <v>193</v>
      </c>
      <c r="B49" s="212">
        <f>'Page 4-Year 0'!E49</f>
        <v>0</v>
      </c>
      <c r="C49" s="212">
        <f>'Page 5-Year 1'!E49</f>
        <v>0</v>
      </c>
      <c r="D49" s="212">
        <f>'Page 6-Year 2'!E49</f>
        <v>0</v>
      </c>
      <c r="E49" s="212">
        <f>'Page 7-Year 3'!E49</f>
        <v>0</v>
      </c>
      <c r="F49" s="212">
        <f>'Page 8-Year 4'!E49</f>
        <v>0</v>
      </c>
      <c r="G49" s="212">
        <f>'Page 9-Year 5'!E49</f>
        <v>0</v>
      </c>
      <c r="H49" s="210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</row>
    <row r="50" spans="1:26" ht="12.75" customHeight="1" x14ac:dyDescent="0.25">
      <c r="A50" s="218" t="s">
        <v>243</v>
      </c>
      <c r="B50" s="212">
        <f>'Page 4-Year 0'!E50</f>
        <v>0</v>
      </c>
      <c r="C50" s="212">
        <f>'Page 5-Year 1'!E50</f>
        <v>0</v>
      </c>
      <c r="D50" s="212">
        <f>'Page 6-Year 2'!E50</f>
        <v>0</v>
      </c>
      <c r="E50" s="212">
        <f>'Page 7-Year 3'!E50</f>
        <v>0</v>
      </c>
      <c r="F50" s="212">
        <f>'Page 8-Year 4'!E50</f>
        <v>0</v>
      </c>
      <c r="G50" s="212">
        <f>'Page 9-Year 5'!E50</f>
        <v>0</v>
      </c>
      <c r="H50" s="210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</row>
    <row r="51" spans="1:26" ht="12.75" customHeight="1" x14ac:dyDescent="0.25">
      <c r="A51" s="218" t="s">
        <v>195</v>
      </c>
      <c r="B51" s="212">
        <f>'Page 4-Year 0'!E51</f>
        <v>0</v>
      </c>
      <c r="C51" s="212">
        <f>'Page 5-Year 1'!E51</f>
        <v>0</v>
      </c>
      <c r="D51" s="212">
        <f>'Page 6-Year 2'!E51</f>
        <v>0</v>
      </c>
      <c r="E51" s="212">
        <f>'Page 7-Year 3'!E51</f>
        <v>0</v>
      </c>
      <c r="F51" s="212">
        <f>'Page 8-Year 4'!E51</f>
        <v>0</v>
      </c>
      <c r="G51" s="212">
        <f>'Page 9-Year 5'!E51</f>
        <v>0</v>
      </c>
      <c r="H51" s="210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</row>
    <row r="52" spans="1:26" ht="12.75" customHeight="1" x14ac:dyDescent="0.25">
      <c r="A52" s="218" t="s">
        <v>196</v>
      </c>
      <c r="B52" s="212">
        <f>'Page 4-Year 0'!E52</f>
        <v>0</v>
      </c>
      <c r="C52" s="212">
        <f>'Page 5-Year 1'!E52</f>
        <v>0</v>
      </c>
      <c r="D52" s="212">
        <f>'Page 6-Year 2'!E52</f>
        <v>0</v>
      </c>
      <c r="E52" s="212">
        <f>'Page 7-Year 3'!E52</f>
        <v>0</v>
      </c>
      <c r="F52" s="212">
        <f>'Page 8-Year 4'!E52</f>
        <v>0</v>
      </c>
      <c r="G52" s="212">
        <f>'Page 9-Year 5'!E52</f>
        <v>0</v>
      </c>
      <c r="H52" s="210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</row>
    <row r="53" spans="1:26" ht="12.75" customHeight="1" x14ac:dyDescent="0.25">
      <c r="A53" s="218" t="s">
        <v>197</v>
      </c>
      <c r="B53" s="212">
        <f>'Page 4-Year 0'!E53</f>
        <v>0</v>
      </c>
      <c r="C53" s="212">
        <f>'Page 5-Year 1'!E53</f>
        <v>0</v>
      </c>
      <c r="D53" s="212">
        <f>'Page 6-Year 2'!E53</f>
        <v>0</v>
      </c>
      <c r="E53" s="212">
        <f>'Page 7-Year 3'!E53</f>
        <v>0</v>
      </c>
      <c r="F53" s="212">
        <f>'Page 8-Year 4'!E53</f>
        <v>0</v>
      </c>
      <c r="G53" s="212">
        <f>'Page 9-Year 5'!E53</f>
        <v>0</v>
      </c>
      <c r="H53" s="210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</row>
    <row r="54" spans="1:26" ht="12.75" customHeight="1" x14ac:dyDescent="0.25">
      <c r="A54" s="218" t="s">
        <v>198</v>
      </c>
      <c r="B54" s="212">
        <f>'Page 4-Year 0'!E54</f>
        <v>0</v>
      </c>
      <c r="C54" s="212">
        <f>'Page 5-Year 1'!E54</f>
        <v>0</v>
      </c>
      <c r="D54" s="212">
        <f>'Page 6-Year 2'!E54</f>
        <v>0</v>
      </c>
      <c r="E54" s="212">
        <f>'Page 7-Year 3'!E54</f>
        <v>0</v>
      </c>
      <c r="F54" s="212">
        <f>'Page 8-Year 4'!E54</f>
        <v>0</v>
      </c>
      <c r="G54" s="212">
        <f>'Page 9-Year 5'!E54</f>
        <v>0</v>
      </c>
      <c r="H54" s="210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</row>
    <row r="55" spans="1:26" ht="12.75" customHeight="1" x14ac:dyDescent="0.25">
      <c r="A55" s="218" t="s">
        <v>199</v>
      </c>
      <c r="B55" s="212">
        <f>'Page 4-Year 0'!E55</f>
        <v>0</v>
      </c>
      <c r="C55" s="212">
        <f>'Page 5-Year 1'!E55</f>
        <v>0</v>
      </c>
      <c r="D55" s="212">
        <f>'Page 6-Year 2'!E55</f>
        <v>0</v>
      </c>
      <c r="E55" s="212">
        <f>'Page 7-Year 3'!E55</f>
        <v>0</v>
      </c>
      <c r="F55" s="212">
        <f>'Page 8-Year 4'!E55</f>
        <v>0</v>
      </c>
      <c r="G55" s="212">
        <f>'Page 9-Year 5'!E55</f>
        <v>0</v>
      </c>
      <c r="H55" s="210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</row>
    <row r="56" spans="1:26" ht="12.75" customHeight="1" x14ac:dyDescent="0.25">
      <c r="A56" s="218" t="s">
        <v>200</v>
      </c>
      <c r="B56" s="212">
        <f>'Page 4-Year 0'!E56</f>
        <v>0</v>
      </c>
      <c r="C56" s="212">
        <f>'Page 5-Year 1'!E56</f>
        <v>1514.1000000000001</v>
      </c>
      <c r="D56" s="212">
        <f>'Page 6-Year 2'!E56</f>
        <v>2194.2000000000003</v>
      </c>
      <c r="E56" s="212">
        <f>'Page 7-Year 3'!E56</f>
        <v>2910.3000000000006</v>
      </c>
      <c r="F56" s="212">
        <f>'Page 8-Year 4'!E56</f>
        <v>3662.4</v>
      </c>
      <c r="G56" s="212">
        <f>'Page 9-Year 5'!E56</f>
        <v>4450.5</v>
      </c>
      <c r="H56" s="210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</row>
    <row r="57" spans="1:26" ht="12.75" customHeight="1" x14ac:dyDescent="0.25">
      <c r="A57" s="218" t="s">
        <v>201</v>
      </c>
      <c r="B57" s="212">
        <f>'Page 4-Year 0'!E57</f>
        <v>0</v>
      </c>
      <c r="C57" s="212">
        <f>'Page 5-Year 1'!E57</f>
        <v>10094</v>
      </c>
      <c r="D57" s="212">
        <f>'Page 6-Year 2'!E57</f>
        <v>14628</v>
      </c>
      <c r="E57" s="212">
        <f>'Page 7-Year 3'!E57</f>
        <v>19402.000000000004</v>
      </c>
      <c r="F57" s="212">
        <f>'Page 8-Year 4'!E57</f>
        <v>24416</v>
      </c>
      <c r="G57" s="212">
        <f>'Page 9-Year 5'!E57</f>
        <v>29670</v>
      </c>
      <c r="H57" s="210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</row>
    <row r="58" spans="1:26" ht="12.75" customHeight="1" x14ac:dyDescent="0.25">
      <c r="A58" s="218" t="s">
        <v>202</v>
      </c>
      <c r="B58" s="212">
        <f>'Page 4-Year 0'!E58</f>
        <v>0</v>
      </c>
      <c r="C58" s="212">
        <f>'Page 5-Year 1'!E58</f>
        <v>0</v>
      </c>
      <c r="D58" s="212">
        <f>'Page 6-Year 2'!E58</f>
        <v>0</v>
      </c>
      <c r="E58" s="212">
        <f>'Page 7-Year 3'!E58</f>
        <v>0</v>
      </c>
      <c r="F58" s="212">
        <f>'Page 8-Year 4'!E58</f>
        <v>0</v>
      </c>
      <c r="G58" s="212">
        <f>'Page 9-Year 5'!E58</f>
        <v>0</v>
      </c>
      <c r="H58" s="210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</row>
    <row r="59" spans="1:26" ht="12.75" customHeight="1" x14ac:dyDescent="0.25">
      <c r="A59" s="218" t="s">
        <v>203</v>
      </c>
      <c r="B59" s="212">
        <f>'Page 4-Year 0'!E59</f>
        <v>0</v>
      </c>
      <c r="C59" s="212">
        <f>'Page 5-Year 1'!E59</f>
        <v>0</v>
      </c>
      <c r="D59" s="212">
        <f>'Page 6-Year 2'!E59</f>
        <v>0</v>
      </c>
      <c r="E59" s="212">
        <f>'Page 7-Year 3'!E59</f>
        <v>0</v>
      </c>
      <c r="F59" s="212">
        <f>'Page 8-Year 4'!E59</f>
        <v>0</v>
      </c>
      <c r="G59" s="212">
        <f>'Page 9-Year 5'!E59</f>
        <v>0</v>
      </c>
      <c r="H59" s="210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</row>
    <row r="60" spans="1:26" ht="12.75" customHeight="1" x14ac:dyDescent="0.25">
      <c r="A60" s="221" t="s">
        <v>204</v>
      </c>
      <c r="B60" s="212">
        <f>'Page 4-Year 0'!E60</f>
        <v>0</v>
      </c>
      <c r="C60" s="212">
        <f>'Page 5-Year 1'!E60</f>
        <v>0</v>
      </c>
      <c r="D60" s="212">
        <f>'Page 6-Year 2'!E60</f>
        <v>0</v>
      </c>
      <c r="E60" s="212">
        <f>'Page 7-Year 3'!E60</f>
        <v>0</v>
      </c>
      <c r="F60" s="212">
        <f>'Page 8-Year 4'!E60</f>
        <v>0</v>
      </c>
      <c r="G60" s="212">
        <f>'Page 9-Year 5'!E60</f>
        <v>0</v>
      </c>
      <c r="H60" s="210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</row>
    <row r="61" spans="1:26" ht="12.75" customHeight="1" x14ac:dyDescent="0.25">
      <c r="A61" s="218" t="s">
        <v>205</v>
      </c>
      <c r="B61" s="212">
        <f>'Page 4-Year 0'!E61</f>
        <v>0</v>
      </c>
      <c r="C61" s="212">
        <f>'Page 5-Year 1'!E61</f>
        <v>0</v>
      </c>
      <c r="D61" s="212">
        <f>'Page 6-Year 2'!E61</f>
        <v>0</v>
      </c>
      <c r="E61" s="212">
        <f>'Page 7-Year 3'!E61</f>
        <v>0</v>
      </c>
      <c r="F61" s="212">
        <f>'Page 8-Year 4'!E61</f>
        <v>0</v>
      </c>
      <c r="G61" s="212">
        <f>'Page 9-Year 5'!E61</f>
        <v>0</v>
      </c>
      <c r="H61" s="210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</row>
    <row r="62" spans="1:26" ht="12.75" customHeight="1" x14ac:dyDescent="0.25">
      <c r="A62" s="218" t="s">
        <v>206</v>
      </c>
      <c r="B62" s="212">
        <f>'Page 4-Year 0'!E62</f>
        <v>0</v>
      </c>
      <c r="C62" s="212">
        <f>'Page 5-Year 1'!E62</f>
        <v>0</v>
      </c>
      <c r="D62" s="212">
        <f>'Page 6-Year 2'!E62</f>
        <v>0</v>
      </c>
      <c r="E62" s="212">
        <f>'Page 7-Year 3'!E62</f>
        <v>0</v>
      </c>
      <c r="F62" s="212">
        <f>'Page 8-Year 4'!E62</f>
        <v>0</v>
      </c>
      <c r="G62" s="212">
        <f>'Page 9-Year 5'!E62</f>
        <v>0</v>
      </c>
      <c r="H62" s="210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</row>
    <row r="63" spans="1:26" ht="12.75" customHeight="1" x14ac:dyDescent="0.25">
      <c r="A63" s="218" t="s">
        <v>207</v>
      </c>
      <c r="B63" s="212">
        <f>'Page 4-Year 0'!E63</f>
        <v>0</v>
      </c>
      <c r="C63" s="212">
        <f>'Page 5-Year 1'!E63</f>
        <v>0</v>
      </c>
      <c r="D63" s="212">
        <f>'Page 6-Year 2'!E63</f>
        <v>0</v>
      </c>
      <c r="E63" s="212">
        <f>'Page 7-Year 3'!E63</f>
        <v>0</v>
      </c>
      <c r="F63" s="212">
        <f>'Page 8-Year 4'!E63</f>
        <v>0</v>
      </c>
      <c r="G63" s="212">
        <f>'Page 9-Year 5'!E63</f>
        <v>0</v>
      </c>
      <c r="H63" s="210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</row>
    <row r="64" spans="1:26" ht="12.75" customHeight="1" x14ac:dyDescent="0.25">
      <c r="A64" s="218" t="s">
        <v>208</v>
      </c>
      <c r="B64" s="212">
        <f>'Page 4-Year 0'!E64</f>
        <v>0</v>
      </c>
      <c r="C64" s="212">
        <f>'Page 5-Year 1'!E64</f>
        <v>0</v>
      </c>
      <c r="D64" s="212">
        <f>'Page 6-Year 2'!E64</f>
        <v>0</v>
      </c>
      <c r="E64" s="212">
        <f>'Page 7-Year 3'!E64</f>
        <v>0</v>
      </c>
      <c r="F64" s="212">
        <f>'Page 8-Year 4'!E64</f>
        <v>0</v>
      </c>
      <c r="G64" s="212">
        <f>'Page 9-Year 5'!E64</f>
        <v>0</v>
      </c>
      <c r="H64" s="210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</row>
    <row r="65" spans="1:26" ht="12.75" customHeight="1" x14ac:dyDescent="0.25">
      <c r="A65" s="218" t="s">
        <v>209</v>
      </c>
      <c r="B65" s="212">
        <f>'Page 4-Year 0'!E65</f>
        <v>0</v>
      </c>
      <c r="C65" s="212">
        <f>'Page 5-Year 1'!E65</f>
        <v>0</v>
      </c>
      <c r="D65" s="212">
        <f>'Page 6-Year 2'!E65</f>
        <v>0</v>
      </c>
      <c r="E65" s="212">
        <f>'Page 7-Year 3'!E65</f>
        <v>0</v>
      </c>
      <c r="F65" s="212">
        <f>'Page 8-Year 4'!E65</f>
        <v>0</v>
      </c>
      <c r="G65" s="212">
        <f>'Page 9-Year 5'!E65</f>
        <v>0</v>
      </c>
      <c r="H65" s="210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</row>
    <row r="66" spans="1:26" ht="12.75" customHeight="1" x14ac:dyDescent="0.25">
      <c r="A66" s="218" t="s">
        <v>210</v>
      </c>
      <c r="B66" s="212">
        <f>'Page 4-Year 0'!E66</f>
        <v>0</v>
      </c>
      <c r="C66" s="212">
        <f>'Page 5-Year 1'!E66</f>
        <v>0</v>
      </c>
      <c r="D66" s="212">
        <f>'Page 6-Year 2'!E66</f>
        <v>0</v>
      </c>
      <c r="E66" s="212">
        <f>'Page 7-Year 3'!E66</f>
        <v>0</v>
      </c>
      <c r="F66" s="212">
        <f>'Page 8-Year 4'!E66</f>
        <v>0</v>
      </c>
      <c r="G66" s="212">
        <f>'Page 9-Year 5'!E66</f>
        <v>0</v>
      </c>
      <c r="H66" s="210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</row>
    <row r="67" spans="1:26" ht="12.75" customHeight="1" x14ac:dyDescent="0.25">
      <c r="A67" s="218" t="s">
        <v>211</v>
      </c>
      <c r="B67" s="212">
        <f>'Page 4-Year 0'!E67</f>
        <v>0</v>
      </c>
      <c r="C67" s="212">
        <f>'Page 5-Year 1'!E67</f>
        <v>0</v>
      </c>
      <c r="D67" s="212">
        <f>'Page 6-Year 2'!E67</f>
        <v>0</v>
      </c>
      <c r="E67" s="212">
        <f>'Page 7-Year 3'!E67</f>
        <v>0</v>
      </c>
      <c r="F67" s="212">
        <f>'Page 8-Year 4'!E67</f>
        <v>0</v>
      </c>
      <c r="G67" s="212">
        <f>'Page 9-Year 5'!E67</f>
        <v>0</v>
      </c>
      <c r="H67" s="210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</row>
    <row r="68" spans="1:26" ht="12.75" customHeight="1" x14ac:dyDescent="0.25">
      <c r="A68" s="218" t="s">
        <v>212</v>
      </c>
      <c r="B68" s="212">
        <f>'Page 4-Year 0'!E68</f>
        <v>0</v>
      </c>
      <c r="C68" s="212">
        <f>'Page 5-Year 1'!E68</f>
        <v>0</v>
      </c>
      <c r="D68" s="212">
        <f>'Page 6-Year 2'!E68</f>
        <v>0</v>
      </c>
      <c r="E68" s="212">
        <f>'Page 7-Year 3'!E68</f>
        <v>0</v>
      </c>
      <c r="F68" s="212">
        <f>'Page 8-Year 4'!E68</f>
        <v>0</v>
      </c>
      <c r="G68" s="212">
        <f>'Page 9-Year 5'!E68</f>
        <v>0</v>
      </c>
      <c r="H68" s="210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</row>
    <row r="69" spans="1:26" ht="12.75" customHeight="1" x14ac:dyDescent="0.25">
      <c r="A69" s="221" t="s">
        <v>213</v>
      </c>
      <c r="B69" s="212">
        <f>'Page 4-Year 0'!E69</f>
        <v>0</v>
      </c>
      <c r="C69" s="212">
        <f>'Page 5-Year 1'!E69</f>
        <v>0</v>
      </c>
      <c r="D69" s="212">
        <f>'Page 6-Year 2'!E69</f>
        <v>0</v>
      </c>
      <c r="E69" s="212">
        <f>'Page 7-Year 3'!E69</f>
        <v>0</v>
      </c>
      <c r="F69" s="212">
        <f>'Page 8-Year 4'!E69</f>
        <v>0</v>
      </c>
      <c r="G69" s="212">
        <f>'Page 9-Year 5'!E69</f>
        <v>0</v>
      </c>
      <c r="H69" s="210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</row>
    <row r="70" spans="1:26" ht="12.75" customHeight="1" x14ac:dyDescent="0.25">
      <c r="A70" s="218" t="s">
        <v>214</v>
      </c>
      <c r="B70" s="212">
        <f>'Page 4-Year 0'!E70</f>
        <v>0</v>
      </c>
      <c r="C70" s="212">
        <f>'Page 5-Year 1'!E70</f>
        <v>0</v>
      </c>
      <c r="D70" s="212">
        <f>'Page 6-Year 2'!E70</f>
        <v>0</v>
      </c>
      <c r="E70" s="212">
        <f>'Page 7-Year 3'!E70</f>
        <v>0</v>
      </c>
      <c r="F70" s="212">
        <f>'Page 8-Year 4'!E70</f>
        <v>0</v>
      </c>
      <c r="G70" s="212">
        <f>'Page 9-Year 5'!E70</f>
        <v>0</v>
      </c>
      <c r="H70" s="210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</row>
    <row r="71" spans="1:26" ht="12.75" customHeight="1" x14ac:dyDescent="0.25">
      <c r="A71" s="218" t="s">
        <v>215</v>
      </c>
      <c r="B71" s="212">
        <f>'Page 4-Year 0'!E71</f>
        <v>0</v>
      </c>
      <c r="C71" s="212">
        <f>'Page 5-Year 1'!E71</f>
        <v>0</v>
      </c>
      <c r="D71" s="212">
        <f>'Page 6-Year 2'!E71</f>
        <v>0</v>
      </c>
      <c r="E71" s="212">
        <f>'Page 7-Year 3'!E71</f>
        <v>0</v>
      </c>
      <c r="F71" s="212">
        <f>'Page 8-Year 4'!E71</f>
        <v>0</v>
      </c>
      <c r="G71" s="212">
        <f>'Page 9-Year 5'!E71</f>
        <v>0</v>
      </c>
      <c r="H71" s="210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</row>
    <row r="72" spans="1:26" ht="12.75" customHeight="1" x14ac:dyDescent="0.25">
      <c r="A72" s="218" t="s">
        <v>216</v>
      </c>
      <c r="B72" s="212">
        <f>'Page 4-Year 0'!E72</f>
        <v>0</v>
      </c>
      <c r="C72" s="212">
        <f>'Page 5-Year 1'!E72</f>
        <v>0</v>
      </c>
      <c r="D72" s="212">
        <f>'Page 6-Year 2'!E72</f>
        <v>0</v>
      </c>
      <c r="E72" s="212">
        <f>'Page 7-Year 3'!E72</f>
        <v>0</v>
      </c>
      <c r="F72" s="212">
        <f>'Page 8-Year 4'!E72</f>
        <v>0</v>
      </c>
      <c r="G72" s="212">
        <f>'Page 9-Year 5'!E72</f>
        <v>0</v>
      </c>
      <c r="H72" s="210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</row>
    <row r="73" spans="1:26" ht="12.75" customHeight="1" x14ac:dyDescent="0.25">
      <c r="A73" s="218" t="s">
        <v>217</v>
      </c>
      <c r="B73" s="212">
        <f>'Page 4-Year 0'!E73</f>
        <v>0</v>
      </c>
      <c r="C73" s="212">
        <f>'Page 5-Year 1'!E73</f>
        <v>0</v>
      </c>
      <c r="D73" s="212">
        <f>'Page 6-Year 2'!E73</f>
        <v>0</v>
      </c>
      <c r="E73" s="212">
        <f>'Page 7-Year 3'!E73</f>
        <v>0</v>
      </c>
      <c r="F73" s="212">
        <f>'Page 8-Year 4'!E73</f>
        <v>0</v>
      </c>
      <c r="G73" s="212">
        <f>'Page 9-Year 5'!E73</f>
        <v>0</v>
      </c>
      <c r="H73" s="210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</row>
    <row r="74" spans="1:26" ht="12.75" customHeight="1" x14ac:dyDescent="0.25">
      <c r="A74" s="218" t="s">
        <v>218</v>
      </c>
      <c r="B74" s="212">
        <f>'Page 4-Year 0'!E74</f>
        <v>0</v>
      </c>
      <c r="C74" s="212">
        <f>'Page 5-Year 1'!E74</f>
        <v>0</v>
      </c>
      <c r="D74" s="212">
        <f>'Page 6-Year 2'!E74</f>
        <v>0</v>
      </c>
      <c r="E74" s="212">
        <f>'Page 7-Year 3'!E74</f>
        <v>0</v>
      </c>
      <c r="F74" s="212">
        <f>'Page 8-Year 4'!E74</f>
        <v>0</v>
      </c>
      <c r="G74" s="212">
        <f>'Page 9-Year 5'!E74</f>
        <v>0</v>
      </c>
      <c r="H74" s="210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</row>
    <row r="75" spans="1:26" ht="12.75" customHeight="1" x14ac:dyDescent="0.25">
      <c r="A75" s="218" t="s">
        <v>219</v>
      </c>
      <c r="B75" s="215">
        <f>'Page 4-Year 0'!E75</f>
        <v>0</v>
      </c>
      <c r="C75" s="215">
        <f>'Page 5-Year 1'!E75</f>
        <v>0</v>
      </c>
      <c r="D75" s="215">
        <f>'Page 6-Year 2'!E75</f>
        <v>0</v>
      </c>
      <c r="E75" s="215">
        <f>'Page 7-Year 3'!E75</f>
        <v>0</v>
      </c>
      <c r="F75" s="215">
        <f>'Page 8-Year 4'!E75</f>
        <v>0</v>
      </c>
      <c r="G75" s="215">
        <f>'Page 9-Year 5'!E75</f>
        <v>0</v>
      </c>
      <c r="H75" s="210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</row>
    <row r="76" spans="1:26" ht="12.75" customHeight="1" x14ac:dyDescent="0.25">
      <c r="A76" s="216" t="s">
        <v>220</v>
      </c>
      <c r="B76" s="222">
        <f t="shared" ref="B76:G76" si="1">SUM(B34:B75)</f>
        <v>0</v>
      </c>
      <c r="C76" s="222">
        <f t="shared" si="1"/>
        <v>626585.04999999993</v>
      </c>
      <c r="D76" s="222">
        <f t="shared" si="1"/>
        <v>909861.6</v>
      </c>
      <c r="E76" s="222">
        <f t="shared" si="1"/>
        <v>1209229.6500000001</v>
      </c>
      <c r="F76" s="222">
        <f t="shared" si="1"/>
        <v>1524779.2</v>
      </c>
      <c r="G76" s="222">
        <f t="shared" si="1"/>
        <v>1856600.25</v>
      </c>
      <c r="H76" s="210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</row>
    <row r="77" spans="1:26" ht="6.75" customHeight="1" x14ac:dyDescent="0.25">
      <c r="A77" s="223"/>
      <c r="B77" s="212"/>
      <c r="C77" s="212"/>
      <c r="D77" s="212"/>
      <c r="E77" s="212"/>
      <c r="F77" s="212"/>
      <c r="G77" s="212"/>
      <c r="H77" s="210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</row>
    <row r="78" spans="1:26" ht="13.5" customHeight="1" x14ac:dyDescent="0.25">
      <c r="A78" s="224" t="s">
        <v>221</v>
      </c>
      <c r="B78" s="219">
        <f t="shared" ref="B78:G78" si="2">B31-B76</f>
        <v>0</v>
      </c>
      <c r="C78" s="219">
        <f t="shared" si="2"/>
        <v>-624585.04999999993</v>
      </c>
      <c r="D78" s="219">
        <f t="shared" si="2"/>
        <v>-907861.6</v>
      </c>
      <c r="E78" s="219">
        <f t="shared" si="2"/>
        <v>-1207229.6500000001</v>
      </c>
      <c r="F78" s="219">
        <f t="shared" si="2"/>
        <v>-1522779.2</v>
      </c>
      <c r="G78" s="219">
        <f t="shared" si="2"/>
        <v>-1854600.25</v>
      </c>
      <c r="H78" s="210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</row>
    <row r="79" spans="1:26" ht="6.75" customHeight="1" x14ac:dyDescent="0.25">
      <c r="A79" s="223"/>
      <c r="B79" s="212"/>
      <c r="C79" s="212"/>
      <c r="D79" s="212"/>
      <c r="E79" s="212"/>
      <c r="F79" s="212"/>
      <c r="G79" s="212"/>
      <c r="H79" s="210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</row>
    <row r="80" spans="1:26" ht="13.5" customHeight="1" x14ac:dyDescent="0.25">
      <c r="A80" s="224" t="s">
        <v>237</v>
      </c>
      <c r="B80" s="212"/>
      <c r="C80" s="212"/>
      <c r="D80" s="212"/>
      <c r="E80" s="214"/>
      <c r="F80" s="214"/>
      <c r="G80" s="212"/>
      <c r="H80" s="210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</row>
    <row r="81" spans="1:26" ht="13.5" customHeight="1" x14ac:dyDescent="0.25">
      <c r="A81" s="221" t="s">
        <v>223</v>
      </c>
      <c r="B81" s="212"/>
      <c r="C81" s="212">
        <f>'Page 5-Year 1'!E81</f>
        <v>0</v>
      </c>
      <c r="D81" s="212">
        <f>'Page 6-Year 2'!E81</f>
        <v>0</v>
      </c>
      <c r="E81" s="214">
        <f>'Page 7-Year 3'!E81</f>
        <v>0</v>
      </c>
      <c r="F81" s="214">
        <f>'Page 8-Year 4'!E81</f>
        <v>0</v>
      </c>
      <c r="G81" s="212">
        <f>'Page 9-Year 5'!E81</f>
        <v>0</v>
      </c>
      <c r="H81" s="210"/>
      <c r="I81" s="211" t="s">
        <v>26</v>
      </c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</row>
    <row r="82" spans="1:26" ht="13.5" customHeight="1" x14ac:dyDescent="0.25">
      <c r="A82" s="221" t="s">
        <v>244</v>
      </c>
      <c r="B82" s="215">
        <v>0</v>
      </c>
      <c r="C82" s="215">
        <f>'Page 5-Year 1'!E82</f>
        <v>0</v>
      </c>
      <c r="D82" s="215">
        <f>'Page 6-Year 2'!E82</f>
        <v>0</v>
      </c>
      <c r="E82" s="215">
        <f>'Page 7-Year 3'!E82</f>
        <v>0</v>
      </c>
      <c r="F82" s="215">
        <f>'Page 8-Year 4'!E82</f>
        <v>0</v>
      </c>
      <c r="G82" s="215">
        <f>'Page 9-Year 5'!E82</f>
        <v>0</v>
      </c>
      <c r="H82" s="210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</row>
    <row r="83" spans="1:26" ht="6" customHeight="1" x14ac:dyDescent="0.25">
      <c r="A83" s="223"/>
      <c r="B83" s="212"/>
      <c r="C83" s="212"/>
      <c r="D83" s="212"/>
      <c r="E83" s="212"/>
      <c r="F83" s="212"/>
      <c r="G83" s="212"/>
      <c r="H83" s="210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</row>
    <row r="84" spans="1:26" ht="12.75" customHeight="1" x14ac:dyDescent="0.25">
      <c r="A84" s="216" t="s">
        <v>225</v>
      </c>
      <c r="B84" s="225">
        <f>B78-B82</f>
        <v>0</v>
      </c>
      <c r="C84" s="225">
        <f>SUM(C78:C82)</f>
        <v>-624585.04999999993</v>
      </c>
      <c r="D84" s="225">
        <f>SUM(D78:D82)</f>
        <v>-907861.6</v>
      </c>
      <c r="E84" s="225">
        <f>SUM(E78:E82)</f>
        <v>-1207229.6500000001</v>
      </c>
      <c r="F84" s="225">
        <f>SUM(F78:F82)</f>
        <v>-1522779.2</v>
      </c>
      <c r="G84" s="225">
        <f>SUM(G78:G82)</f>
        <v>-1854600.25</v>
      </c>
      <c r="H84" s="210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</row>
    <row r="85" spans="1:26" ht="12.75" customHeight="1" x14ac:dyDescent="0.3">
      <c r="A85" s="226"/>
      <c r="B85" s="26"/>
      <c r="C85" s="227"/>
      <c r="D85" s="26"/>
      <c r="E85" s="26"/>
      <c r="F85" s="26"/>
      <c r="G85" s="26"/>
      <c r="H85" s="200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5">
      <c r="A86" s="223" t="s">
        <v>226</v>
      </c>
      <c r="B86" s="228">
        <f>'Page 4-Year 0'!E85</f>
        <v>0</v>
      </c>
      <c r="C86" s="228">
        <f>'Page 5-Year 1'!E85</f>
        <v>0</v>
      </c>
      <c r="D86" s="228">
        <f>'Page 6-Year 2'!E85</f>
        <v>-624585.04999999993</v>
      </c>
      <c r="E86" s="228">
        <f>'Page 7-Year 3'!E85</f>
        <v>-1532446.65</v>
      </c>
      <c r="F86" s="228">
        <f>'Page 8-Year 4'!E85</f>
        <v>-2739676.3</v>
      </c>
      <c r="G86" s="228">
        <f>'Page 9-Year 5'!E85</f>
        <v>-4262455.5</v>
      </c>
      <c r="H86" s="210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</row>
    <row r="87" spans="1:26" ht="3" customHeight="1" x14ac:dyDescent="0.25">
      <c r="A87" s="223"/>
      <c r="B87" s="229"/>
      <c r="C87" s="229"/>
      <c r="D87" s="228"/>
      <c r="E87" s="229"/>
      <c r="F87" s="229"/>
      <c r="G87" s="229"/>
      <c r="H87" s="210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</row>
    <row r="88" spans="1:26" ht="12.75" customHeight="1" x14ac:dyDescent="0.25">
      <c r="A88" s="223" t="s">
        <v>227</v>
      </c>
      <c r="B88" s="228">
        <f>'Page 4-Year 0'!E87</f>
        <v>0</v>
      </c>
      <c r="C88" s="228">
        <f>'Page 5-Year 1'!E86</f>
        <v>-624585.04999999993</v>
      </c>
      <c r="D88" s="228">
        <f>'Page 6-Year 2'!E86</f>
        <v>-1532446.65</v>
      </c>
      <c r="E88" s="228">
        <f>'Page 7-Year 3'!E86</f>
        <v>-2739676.3</v>
      </c>
      <c r="F88" s="228">
        <f>'Page 8-Year 4'!E86</f>
        <v>-4262455.5</v>
      </c>
      <c r="G88" s="228">
        <f>'Page 9-Year 5'!E86</f>
        <v>-6117055.75</v>
      </c>
      <c r="H88" s="210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</row>
    <row r="89" spans="1:26" ht="12.75" customHeight="1" x14ac:dyDescent="0.25">
      <c r="A89" s="221" t="s">
        <v>228</v>
      </c>
      <c r="B89" s="230">
        <f>'Page 4-Year 0'!E88</f>
        <v>0</v>
      </c>
      <c r="C89" s="230">
        <f>'Page 5-Year 1'!E87</f>
        <v>0</v>
      </c>
      <c r="D89" s="230">
        <f>'Page 6-Year 2'!E87</f>
        <v>0</v>
      </c>
      <c r="E89" s="230">
        <f>'Page 7-Year 3'!E87</f>
        <v>0</v>
      </c>
      <c r="F89" s="230">
        <f>'Page 8-Year 4'!E87</f>
        <v>0</v>
      </c>
      <c r="G89" s="230">
        <f>'Page 9-Year 5'!E87</f>
        <v>0</v>
      </c>
      <c r="H89" s="210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</row>
    <row r="90" spans="1:26" ht="12.75" customHeight="1" x14ac:dyDescent="0.25">
      <c r="A90" s="221" t="s">
        <v>229</v>
      </c>
      <c r="B90" s="230">
        <f>'Page 4-Year 0'!E89</f>
        <v>0</v>
      </c>
      <c r="C90" s="230">
        <f>'Page 5-Year 1'!E88</f>
        <v>-624585.04999999993</v>
      </c>
      <c r="D90" s="230">
        <f>'Page 6-Year 2'!E88</f>
        <v>-1532446.65</v>
      </c>
      <c r="E90" s="230">
        <f>'Page 7-Year 3'!E88</f>
        <v>-2739676.3</v>
      </c>
      <c r="F90" s="230">
        <f>'Page 8-Year 4'!E88</f>
        <v>-4262455.5</v>
      </c>
      <c r="G90" s="230">
        <f>'Page 9-Year 5'!E88</f>
        <v>-6117055.75</v>
      </c>
      <c r="H90" s="210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</row>
    <row r="91" spans="1:26" ht="12.75" customHeight="1" x14ac:dyDescent="0.25">
      <c r="A91" s="231" t="s">
        <v>245</v>
      </c>
      <c r="B91" s="232" t="e">
        <f>'Page 4-Year 0'!E90</f>
        <v>#DIV/0!</v>
      </c>
      <c r="C91" s="232">
        <f>'Page 5-Year 1'!E89</f>
        <v>-0.99680809492661848</v>
      </c>
      <c r="D91" s="232">
        <f>'Page 6-Year 2'!E89</f>
        <v>-1.6842634638059237</v>
      </c>
      <c r="E91" s="232">
        <f>'Page 7-Year 3'!E89</f>
        <v>-2.2656377140603521</v>
      </c>
      <c r="F91" s="232">
        <f>'Page 8-Year 4'!E89</f>
        <v>-2.7954575324742099</v>
      </c>
      <c r="G91" s="232">
        <f>'Page 9-Year 5'!E89</f>
        <v>-3.2947618907193403</v>
      </c>
      <c r="H91" s="233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</row>
    <row r="92" spans="1:26" ht="12.75" customHeight="1" x14ac:dyDescent="0.25">
      <c r="A92" s="211"/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</row>
    <row r="93" spans="1:26" ht="12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3">
      <c r="A94" s="234" t="s">
        <v>246</v>
      </c>
      <c r="B94" s="235" t="e">
        <f>('Page 2-Staffing Plan'!B44)+((B36+B37+B38+B39+B40+B41+B56+B57)*B101)+(B35+B44+B64+B67+B68+B74)+((B54+B61+B66+B70+B71+B73)*0.75)</f>
        <v>#DIV/0!</v>
      </c>
      <c r="C94" s="235">
        <f>('Page 2-Staffing Plan'!C44)+((C36+C37+C38+C39+C40+C41+C56+C57)*C101)+(C35+C44+C64+C67+C68+C74)+((C54+C61+C66+C70+C71+C73)*0.75)</f>
        <v>511498</v>
      </c>
      <c r="D94" s="235">
        <f>('Page 2-Staffing Plan'!D44)+((D36+D37+D38+D39+D40+D41+D56+D57)*D101)+(D35+D44+D64+D67+D68+D74)+((D54+D61+D66+D70+D71+D73)*0.75)</f>
        <v>791184</v>
      </c>
      <c r="E94" s="235">
        <f>('Page 2-Staffing Plan'!E44)+((E36+E37+E38+E39+E40+E41+E56+E57)*E101)+(E35+E44+E64+E67+E68+E74)+((E54+E61+E66+E70+E71+E73)*0.75)</f>
        <v>1086948.0000000002</v>
      </c>
      <c r="F94" s="235">
        <f>('Page 2-Staffing Plan'!F44)+((F36+F37+F38+F39+F40+F41+F56+F57)*F101)+(F35+F44+F64+F67+F68+F74)+((F54+F61+F66+F70+F71+F73)*0.75)</f>
        <v>1398880</v>
      </c>
      <c r="G94" s="235">
        <f>('Page 2-Staffing Plan'!G44)+((G36+G37+G38+G39+G40+G41+G56+G57)*G101)+(G35+G44+G64+G67+G68+G74)+((G54+G61+G66+G70+G71+G73)*0.75)</f>
        <v>1727070</v>
      </c>
      <c r="H94" s="236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3">
      <c r="A95" s="237" t="s">
        <v>247</v>
      </c>
      <c r="B95" s="238" t="e">
        <f t="shared" ref="B95:G95" si="3">B94/B76</f>
        <v>#DIV/0!</v>
      </c>
      <c r="C95" s="238">
        <f t="shared" si="3"/>
        <v>0.81632653061224503</v>
      </c>
      <c r="D95" s="238">
        <f t="shared" si="3"/>
        <v>0.86956521739130432</v>
      </c>
      <c r="E95" s="238">
        <f t="shared" si="3"/>
        <v>0.89887640449438211</v>
      </c>
      <c r="F95" s="238">
        <f t="shared" si="3"/>
        <v>0.91743119266055051</v>
      </c>
      <c r="G95" s="238">
        <f t="shared" si="3"/>
        <v>0.93023255813953487</v>
      </c>
      <c r="H95" s="239"/>
      <c r="I95" s="85" t="s">
        <v>26</v>
      </c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</row>
    <row r="96" spans="1:26" ht="12.75" customHeight="1" x14ac:dyDescent="0.3">
      <c r="A96" s="240"/>
      <c r="B96" s="241"/>
      <c r="C96" s="241"/>
      <c r="D96" s="241"/>
      <c r="E96" s="241"/>
      <c r="F96" s="241"/>
      <c r="G96" s="241"/>
      <c r="H96" s="24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3">
      <c r="A97" s="240" t="s">
        <v>248</v>
      </c>
      <c r="B97" s="243" t="e">
        <f>'Page 2-Staffing Plan'!B45+((B36+B37+B38+B39+B40+B41+B42+B56+B57)*B102)+(B43+B45+B46+B47+B48+B49+B50+B51+B52+B53+B55+B58+B59+B60+B62+B63+B65+B69+B72+B75)+((B54+B61+B66+B70+B71+B73)*0.25)</f>
        <v>#DIV/0!</v>
      </c>
      <c r="C97" s="243">
        <f>'Page 2-Staffing Plan'!C45+((C36+C37+C38+C39+C40+C41+C42+C56+C57)*C102)+(C43+C45+C46+C47+C48+C49+C50+C51+C52+C53+C55+C58+C59+C60+C62+C63+C65+C69+C72+C75)+((C54+C61+C66+C70+C71+C73)*0.25)</f>
        <v>115087.05</v>
      </c>
      <c r="D97" s="243">
        <f>'Page 2-Staffing Plan'!D45+((D36+D37+D38+D39+D40+D41+D42+D56+D57)*D102)+(D43+D45+D46+D47+D48+D49+D50+D51+D52+D53+D55+D58+D59+D60+D62+D63+D65+D69+D72+D75)+((D54+D61+D66+D70+D71+D73)*0.25)</f>
        <v>118677.6</v>
      </c>
      <c r="E97" s="243">
        <f>'Page 2-Staffing Plan'!E45+((E36+E37+E38+E39+E40+E41+E42+E56+E57)*E102)+(E43+E45+E46+E47+E48+E49+E50+E51+E52+E53+E55+E58+E59+E60+E62+E63+E65+E69+E72+E75)+((E54+E61+E66+E70+E71+E73)*0.25)</f>
        <v>122281.65</v>
      </c>
      <c r="F97" s="243">
        <f>'Page 2-Staffing Plan'!F45+((F36+F37+F38+F39+F40+F41+F42+F56+F57)*F102)+(F43+F45+F46+F47+F48+F49+F50+F51+F52+F53+F55+F58+F59+F60+F62+F63+F65+F69+F72+F75)+((F54+F61+F66+F70+F71+F73)*0.25)</f>
        <v>125899.20000000003</v>
      </c>
      <c r="G97" s="243">
        <f>'Page 2-Staffing Plan'!G45+((G36+G37+G38+G39+G40+G41+G42+G56+G57)*G102)+(G43+G45+G46+G47+G48+G49+G50+G51+G52+G53+G55+G58+G59+G60+G62+G63+G65+G69+G72+G75)+((G54+G61+G66+G70+G71+G73)*0.25)</f>
        <v>129530.24999999997</v>
      </c>
      <c r="H97" s="24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3">
      <c r="A98" s="237" t="s">
        <v>247</v>
      </c>
      <c r="B98" s="238" t="e">
        <f t="shared" ref="B98:G98" si="4">B97/B76</f>
        <v>#DIV/0!</v>
      </c>
      <c r="C98" s="238">
        <f t="shared" si="4"/>
        <v>0.18367346938775514</v>
      </c>
      <c r="D98" s="238">
        <f t="shared" si="4"/>
        <v>0.13043478260869565</v>
      </c>
      <c r="E98" s="238">
        <f t="shared" si="4"/>
        <v>0.10112359550561796</v>
      </c>
      <c r="F98" s="238">
        <f t="shared" si="4"/>
        <v>8.256880733944956E-2</v>
      </c>
      <c r="G98" s="238">
        <f t="shared" si="4"/>
        <v>6.9767441860465101E-2</v>
      </c>
      <c r="H98" s="239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</row>
    <row r="99" spans="1:26" ht="4.5" customHeight="1" x14ac:dyDescent="0.3">
      <c r="A99" s="244"/>
      <c r="B99" s="245"/>
      <c r="C99" s="245"/>
      <c r="D99" s="245"/>
      <c r="E99" s="245"/>
      <c r="F99" s="245"/>
      <c r="G99" s="245"/>
      <c r="H99" s="246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3">
      <c r="A101" s="2" t="s">
        <v>249</v>
      </c>
      <c r="B101" s="247" t="e">
        <f>('Page 2-Staffing Plan'!B44)/('Page 2-Staffing Plan'!B44+'Page 2-Staffing Plan'!B45)</f>
        <v>#DIV/0!</v>
      </c>
      <c r="C101" s="247">
        <f>('Page 2-Staffing Plan'!C44)/('Page 2-Staffing Plan'!C44+'Page 2-Staffing Plan'!C45)</f>
        <v>0.81632653061224492</v>
      </c>
      <c r="D101" s="247">
        <f>('Page 2-Staffing Plan'!D44)/('Page 2-Staffing Plan'!D44+'Page 2-Staffing Plan'!D45)</f>
        <v>0.86956521739130432</v>
      </c>
      <c r="E101" s="247">
        <f>('Page 2-Staffing Plan'!E44)/('Page 2-Staffing Plan'!E44+'Page 2-Staffing Plan'!E45)</f>
        <v>0.898876404494382</v>
      </c>
      <c r="F101" s="247">
        <f>('Page 2-Staffing Plan'!F44)/('Page 2-Staffing Plan'!F44+'Page 2-Staffing Plan'!F45)</f>
        <v>0.91743119266055051</v>
      </c>
      <c r="G101" s="247">
        <f>('Page 2-Staffing Plan'!G44)/('Page 2-Staffing Plan'!G44+'Page 2-Staffing Plan'!G45)</f>
        <v>0.93023255813953487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3">
      <c r="A102" s="2"/>
      <c r="B102" s="247" t="e">
        <f>('Page 2-Staffing Plan'!B45)/('Page 2-Staffing Plan'!B44+'Page 2-Staffing Plan'!B45)</f>
        <v>#DIV/0!</v>
      </c>
      <c r="C102" s="247">
        <f>('Page 2-Staffing Plan'!C45)/('Page 2-Staffing Plan'!C44+'Page 2-Staffing Plan'!C45)</f>
        <v>0.18367346938775511</v>
      </c>
      <c r="D102" s="247">
        <f>('Page 2-Staffing Plan'!D45)/('Page 2-Staffing Plan'!D44+'Page 2-Staffing Plan'!D45)</f>
        <v>0.13043478260869565</v>
      </c>
      <c r="E102" s="247">
        <f>('Page 2-Staffing Plan'!E45)/('Page 2-Staffing Plan'!E44+'Page 2-Staffing Plan'!E45)</f>
        <v>0.10112359550561796</v>
      </c>
      <c r="F102" s="247">
        <f>('Page 2-Staffing Plan'!F45)/('Page 2-Staffing Plan'!F44+'Page 2-Staffing Plan'!F45)</f>
        <v>8.256880733944956E-2</v>
      </c>
      <c r="G102" s="247">
        <f>('Page 2-Staffing Plan'!G45)/('Page 2-Staffing Plan'!G44+'Page 2-Staffing Plan'!G45)</f>
        <v>6.9767441860465101E-2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3">
      <c r="A103" s="2" t="s">
        <v>250</v>
      </c>
      <c r="B103" s="71" t="e">
        <f t="shared" ref="B103:G103" si="5">B76-(B94+B97)</f>
        <v>#DIV/0!</v>
      </c>
      <c r="C103" s="71">
        <f t="shared" si="5"/>
        <v>0</v>
      </c>
      <c r="D103" s="71">
        <f t="shared" si="5"/>
        <v>0</v>
      </c>
      <c r="E103" s="71">
        <f t="shared" si="5"/>
        <v>0</v>
      </c>
      <c r="F103" s="71">
        <f t="shared" si="5"/>
        <v>0</v>
      </c>
      <c r="G103" s="71">
        <f t="shared" si="5"/>
        <v>0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3">
      <c r="A104" s="2"/>
      <c r="B104" s="71"/>
      <c r="C104" s="71"/>
      <c r="D104" s="71"/>
      <c r="E104" s="71"/>
      <c r="F104" s="71"/>
      <c r="G104" s="7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3">
      <c r="A105" s="1" t="s">
        <v>251</v>
      </c>
      <c r="B105" s="248">
        <f t="shared" ref="B105:G105" si="6">SUM(B50:B53)+B69</f>
        <v>0</v>
      </c>
      <c r="C105" s="248">
        <f t="shared" si="6"/>
        <v>0</v>
      </c>
      <c r="D105" s="248">
        <f t="shared" si="6"/>
        <v>0</v>
      </c>
      <c r="E105" s="248">
        <f t="shared" si="6"/>
        <v>0</v>
      </c>
      <c r="F105" s="248">
        <f t="shared" si="6"/>
        <v>0</v>
      </c>
      <c r="G105" s="248">
        <f t="shared" si="6"/>
        <v>0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3">
      <c r="A106" s="249" t="s">
        <v>252</v>
      </c>
      <c r="B106" s="250" t="e">
        <f t="shared" ref="B106:G106" si="7">B105/B76</f>
        <v>#DIV/0!</v>
      </c>
      <c r="C106" s="250">
        <f t="shared" si="7"/>
        <v>0</v>
      </c>
      <c r="D106" s="250">
        <f t="shared" si="7"/>
        <v>0</v>
      </c>
      <c r="E106" s="250">
        <f t="shared" si="7"/>
        <v>0</v>
      </c>
      <c r="F106" s="250">
        <f t="shared" si="7"/>
        <v>0</v>
      </c>
      <c r="G106" s="250">
        <f t="shared" si="7"/>
        <v>0</v>
      </c>
      <c r="H106" s="251"/>
      <c r="I106" s="251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  <c r="T106" s="251"/>
      <c r="U106" s="251"/>
      <c r="V106" s="251"/>
      <c r="W106" s="251"/>
      <c r="X106" s="251"/>
      <c r="Y106" s="251"/>
      <c r="Z106" s="251"/>
    </row>
  </sheetData>
  <printOptions horizontalCentered="1"/>
  <pageMargins left="0.17013888888888901" right="0.17013888888888901" top="0.45" bottom="0.79027777777777797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zoomScale="110" zoomScaleNormal="110" zoomScalePageLayoutView="110" workbookViewId="0">
      <selection activeCell="C10" sqref="C10"/>
    </sheetView>
  </sheetViews>
  <sheetFormatPr defaultColWidth="8.88671875" defaultRowHeight="13.2" x14ac:dyDescent="0.25"/>
  <cols>
    <col min="1" max="1" width="34" customWidth="1"/>
    <col min="2" max="7" width="14.33203125" customWidth="1"/>
    <col min="8" max="8" width="2.44140625" customWidth="1"/>
    <col min="9" max="26" width="8.6640625" customWidth="1"/>
    <col min="27" max="1025" width="14.44140625" customWidth="1"/>
  </cols>
  <sheetData>
    <row r="1" spans="1:26" ht="18" x14ac:dyDescent="0.35">
      <c r="A1" s="196">
        <f>'Page 3-Assumptions'!A1</f>
        <v>0</v>
      </c>
      <c r="B1" s="197"/>
      <c r="C1" s="197"/>
      <c r="D1" s="197"/>
      <c r="E1" s="197"/>
      <c r="F1" s="197"/>
      <c r="G1" s="197"/>
      <c r="H1" s="19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x14ac:dyDescent="0.35">
      <c r="A2" s="199" t="s">
        <v>253</v>
      </c>
      <c r="B2" s="26"/>
      <c r="C2" s="26"/>
      <c r="D2" s="26"/>
      <c r="E2" s="26"/>
      <c r="F2" s="26"/>
      <c r="G2" s="26"/>
      <c r="H2" s="20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2.5" customHeight="1" x14ac:dyDescent="0.3">
      <c r="A3" s="252"/>
      <c r="B3" s="122" t="s">
        <v>241</v>
      </c>
      <c r="C3" s="122" t="s">
        <v>34</v>
      </c>
      <c r="D3" s="122" t="s">
        <v>35</v>
      </c>
      <c r="E3" s="122" t="s">
        <v>36</v>
      </c>
      <c r="F3" s="122" t="s">
        <v>37</v>
      </c>
      <c r="G3" s="122" t="s">
        <v>38</v>
      </c>
      <c r="H3" s="253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6" ht="12.75" customHeight="1" x14ac:dyDescent="0.3">
      <c r="A4" s="254" t="s">
        <v>159</v>
      </c>
      <c r="B4" s="127">
        <v>0</v>
      </c>
      <c r="C4" s="127">
        <f>'Page 5-Year 1'!E5</f>
        <v>0</v>
      </c>
      <c r="D4" s="127">
        <f>'Page 6-Year 2'!E5</f>
        <v>0</v>
      </c>
      <c r="E4" s="127">
        <f>'Page 7-Year 3'!E5</f>
        <v>0</v>
      </c>
      <c r="F4" s="127">
        <f>'Page 8-Year 4'!E5</f>
        <v>0</v>
      </c>
      <c r="G4" s="127">
        <f>'Page 9-Year 5'!E5</f>
        <v>0</v>
      </c>
      <c r="H4" s="253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</row>
    <row r="5" spans="1:26" ht="12.75" customHeight="1" x14ac:dyDescent="0.3">
      <c r="A5" s="254" t="s">
        <v>160</v>
      </c>
      <c r="B5" s="127" t="str">
        <f>'Page 4-Year 0'!E6</f>
        <v>N/A</v>
      </c>
      <c r="C5" s="127">
        <f>'Page 5-Year 1'!E6</f>
        <v>0</v>
      </c>
      <c r="D5" s="127">
        <f>'Page 6-Year 2'!E6</f>
        <v>0</v>
      </c>
      <c r="E5" s="127">
        <f>'Page 7-Year 3'!E6</f>
        <v>0</v>
      </c>
      <c r="F5" s="127">
        <f>'Page 8-Year 4'!E6</f>
        <v>0</v>
      </c>
      <c r="G5" s="127">
        <f>'Page 9-Year 5'!E6</f>
        <v>0</v>
      </c>
      <c r="H5" s="253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</row>
    <row r="6" spans="1:26" ht="13.5" customHeight="1" x14ac:dyDescent="0.3">
      <c r="A6" s="252" t="s">
        <v>63</v>
      </c>
      <c r="B6" s="125"/>
      <c r="C6" s="125"/>
      <c r="D6" s="125"/>
      <c r="E6" s="125"/>
      <c r="F6" s="125"/>
      <c r="G6" s="125"/>
      <c r="H6" s="253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</row>
    <row r="7" spans="1:26" ht="12.75" customHeight="1" x14ac:dyDescent="0.3">
      <c r="A7" s="255" t="s">
        <v>254</v>
      </c>
      <c r="B7" s="154">
        <f>'Page 10-6 yr Budget-detail'!B29</f>
        <v>0</v>
      </c>
      <c r="C7" s="154">
        <f>'Page 10-6 yr Budget-detail'!C29</f>
        <v>0</v>
      </c>
      <c r="D7" s="154">
        <f>'Page 10-6 yr Budget-detail'!D29</f>
        <v>0</v>
      </c>
      <c r="E7" s="154">
        <f>'Page 10-6 yr Budget-detail'!E29</f>
        <v>0</v>
      </c>
      <c r="F7" s="154">
        <f>'Page 10-6 yr Budget-detail'!F29</f>
        <v>0</v>
      </c>
      <c r="G7" s="154">
        <f>'Page 10-6 yr Budget-detail'!G29</f>
        <v>0</v>
      </c>
      <c r="H7" s="20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3">
      <c r="A8" s="255" t="s">
        <v>255</v>
      </c>
      <c r="B8" s="151">
        <f>'Page 10-6 yr Budget-detail'!B30</f>
        <v>0</v>
      </c>
      <c r="C8" s="151">
        <f>'Page 10-6 yr Budget-detail'!C30</f>
        <v>0</v>
      </c>
      <c r="D8" s="151">
        <f>'Page 10-6 yr Budget-detail'!D30</f>
        <v>0</v>
      </c>
      <c r="E8" s="151">
        <f>'Page 10-6 yr Budget-detail'!E30</f>
        <v>0</v>
      </c>
      <c r="F8" s="151">
        <f>'Page 10-6 yr Budget-detail'!F30</f>
        <v>0</v>
      </c>
      <c r="G8" s="151">
        <f>'Page 10-6 yr Budget-detail'!G30</f>
        <v>0</v>
      </c>
      <c r="H8" s="20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255" t="s">
        <v>256</v>
      </c>
      <c r="B9" s="151">
        <f>'Page 10-6 yr Budget-detail'!B9+'Page 10-6 yr Budget-detail'!B10</f>
        <v>0</v>
      </c>
      <c r="C9" s="151">
        <f>'Page 10-6 yr Budget-detail'!C9+'Page 10-6 yr Budget-detail'!C10</f>
        <v>0</v>
      </c>
      <c r="D9" s="151">
        <f>'Page 10-6 yr Budget-detail'!D9+'Page 10-6 yr Budget-detail'!D10</f>
        <v>0</v>
      </c>
      <c r="E9" s="151">
        <f>'Page 10-6 yr Budget-detail'!E9+'Page 10-6 yr Budget-detail'!E10</f>
        <v>0</v>
      </c>
      <c r="F9" s="151">
        <f>'Page 10-6 yr Budget-detail'!F9+'Page 10-6 yr Budget-detail'!F10</f>
        <v>0</v>
      </c>
      <c r="G9" s="151">
        <f>'Page 10-6 yr Budget-detail'!G9+'Page 10-6 yr Budget-detail'!G10</f>
        <v>0</v>
      </c>
      <c r="H9" s="20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255" t="s">
        <v>257</v>
      </c>
      <c r="B10" s="141">
        <f>SUM('Page 10-6 yr Budget-detail'!B16:B22)</f>
        <v>0</v>
      </c>
      <c r="C10" s="141">
        <f>SUM('Page 10-6 yr Budget-detail'!C16:C22)</f>
        <v>500</v>
      </c>
      <c r="D10" s="141">
        <f>SUM('Page 10-6 yr Budget-detail'!D16:D22)</f>
        <v>500</v>
      </c>
      <c r="E10" s="141">
        <f>SUM('Page 10-6 yr Budget-detail'!E16:E22)</f>
        <v>500</v>
      </c>
      <c r="F10" s="141">
        <f>SUM('Page 10-6 yr Budget-detail'!F16:F22)</f>
        <v>500</v>
      </c>
      <c r="G10" s="141">
        <f>SUM('Page 10-6 yr Budget-detail'!G16:G22)</f>
        <v>500</v>
      </c>
      <c r="H10" s="20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255" t="s">
        <v>258</v>
      </c>
      <c r="B11" s="151">
        <f>SUM('Page 10-6 yr Budget-detail'!B23:B28)</f>
        <v>0</v>
      </c>
      <c r="C11" s="151">
        <f>SUM('Page 10-6 yr Budget-detail'!C23:C28)</f>
        <v>1500</v>
      </c>
      <c r="D11" s="151">
        <f>SUM('Page 10-6 yr Budget-detail'!D23:D28)</f>
        <v>1500</v>
      </c>
      <c r="E11" s="151">
        <f>SUM('Page 10-6 yr Budget-detail'!E23:E28)</f>
        <v>1500</v>
      </c>
      <c r="F11" s="151">
        <f>SUM('Page 10-6 yr Budget-detail'!F23:F28)</f>
        <v>1500</v>
      </c>
      <c r="G11" s="151">
        <f>SUM('Page 10-6 yr Budget-detail'!G23:G28)</f>
        <v>1500</v>
      </c>
      <c r="H11" s="20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">
      <c r="A12" s="255" t="s">
        <v>259</v>
      </c>
      <c r="B12" s="151">
        <f>'Page 10-6 yr Budget-detail'!B8+'Page 10-6 yr Budget-detail'!B15</f>
        <v>0</v>
      </c>
      <c r="C12" s="151">
        <f>'Page 10-6 yr Budget-detail'!C8+'Page 10-6 yr Budget-detail'!C15</f>
        <v>0</v>
      </c>
      <c r="D12" s="151">
        <f>'Page 10-6 yr Budget-detail'!D8+'Page 10-6 yr Budget-detail'!D15</f>
        <v>0</v>
      </c>
      <c r="E12" s="151">
        <f>'Page 10-6 yr Budget-detail'!E8+'Page 10-6 yr Budget-detail'!E15</f>
        <v>0</v>
      </c>
      <c r="F12" s="151">
        <f>'Page 10-6 yr Budget-detail'!F8+'Page 10-6 yr Budget-detail'!F15</f>
        <v>0</v>
      </c>
      <c r="G12" s="151">
        <f>'Page 10-6 yr Budget-detail'!G8+'Page 10-6 yr Budget-detail'!G15</f>
        <v>0</v>
      </c>
      <c r="H12" s="20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">
      <c r="A13" s="255" t="s">
        <v>260</v>
      </c>
      <c r="B13" s="141">
        <f>'Page 10-6 yr Budget-detail'!B11</f>
        <v>0</v>
      </c>
      <c r="C13" s="141">
        <f>'Page 10-6 yr Budget-detail'!C11</f>
        <v>0</v>
      </c>
      <c r="D13" s="141">
        <f>'Page 10-6 yr Budget-detail'!D11</f>
        <v>0</v>
      </c>
      <c r="E13" s="141">
        <f>'Page 10-6 yr Budget-detail'!E11</f>
        <v>0</v>
      </c>
      <c r="F13" s="141">
        <f>'Page 10-6 yr Budget-detail'!F11</f>
        <v>0</v>
      </c>
      <c r="G13" s="141">
        <f>'Page 10-6 yr Budget-detail'!G11</f>
        <v>0</v>
      </c>
      <c r="H13" s="20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255" t="s">
        <v>261</v>
      </c>
      <c r="B14" s="256">
        <f>'Page 10-6 yr Budget-detail'!B12+'Page 10-6 yr Budget-detail'!B13+'Page 10-6 yr Budget-detail'!B14</f>
        <v>0</v>
      </c>
      <c r="C14" s="256">
        <f>'Page 10-6 yr Budget-detail'!C12+'Page 10-6 yr Budget-detail'!C13+'Page 10-6 yr Budget-detail'!C14</f>
        <v>0</v>
      </c>
      <c r="D14" s="256">
        <f>'Page 10-6 yr Budget-detail'!D12+'Page 10-6 yr Budget-detail'!D13+'Page 10-6 yr Budget-detail'!D14</f>
        <v>0</v>
      </c>
      <c r="E14" s="256">
        <f>'Page 10-6 yr Budget-detail'!E12+'Page 10-6 yr Budget-detail'!E13+'Page 10-6 yr Budget-detail'!E14</f>
        <v>0</v>
      </c>
      <c r="F14" s="256">
        <f>'Page 10-6 yr Budget-detail'!F12+'Page 10-6 yr Budget-detail'!F13+'Page 10-6 yr Budget-detail'!F14</f>
        <v>0</v>
      </c>
      <c r="G14" s="256">
        <f>'Page 10-6 yr Budget-detail'!G12+'Page 10-6 yr Budget-detail'!G13+'Page 10-6 yr Budget-detail'!G14</f>
        <v>0</v>
      </c>
      <c r="H14" s="20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257" t="s">
        <v>177</v>
      </c>
      <c r="B15" s="154">
        <f t="shared" ref="B15:G15" si="0">SUM(B7:B14)</f>
        <v>0</v>
      </c>
      <c r="C15" s="258">
        <f t="shared" si="0"/>
        <v>2000</v>
      </c>
      <c r="D15" s="258">
        <f t="shared" si="0"/>
        <v>2000</v>
      </c>
      <c r="E15" s="258">
        <f t="shared" si="0"/>
        <v>2000</v>
      </c>
      <c r="F15" s="258">
        <f t="shared" si="0"/>
        <v>2000</v>
      </c>
      <c r="G15" s="258">
        <f t="shared" si="0"/>
        <v>2000</v>
      </c>
      <c r="H15" s="20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6" customHeight="1" x14ac:dyDescent="0.3">
      <c r="A16" s="259"/>
      <c r="B16" s="151"/>
      <c r="C16" s="141"/>
      <c r="D16" s="141"/>
      <c r="E16" s="141"/>
      <c r="F16" s="141"/>
      <c r="G16" s="141"/>
      <c r="H16" s="20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3">
      <c r="A17" s="257" t="s">
        <v>112</v>
      </c>
      <c r="B17" s="151"/>
      <c r="C17" s="141"/>
      <c r="D17" s="141"/>
      <c r="E17" s="141"/>
      <c r="F17" s="141"/>
      <c r="G17" s="141"/>
      <c r="H17" s="20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3">
      <c r="A18" s="255" t="s">
        <v>262</v>
      </c>
      <c r="B18" s="151">
        <f>SUM('Page 10-6 yr Budget-detail'!B34:B41)</f>
        <v>0</v>
      </c>
      <c r="C18" s="151">
        <f>SUM('Page 10-6 yr Budget-detail'!C34:C41)</f>
        <v>614976.94999999995</v>
      </c>
      <c r="D18" s="151">
        <f>SUM('Page 10-6 yr Budget-detail'!D34:D41)</f>
        <v>893039.4</v>
      </c>
      <c r="E18" s="151">
        <f>SUM('Page 10-6 yr Budget-detail'!E34:E41)</f>
        <v>1186917.3500000001</v>
      </c>
      <c r="F18" s="151">
        <f>SUM('Page 10-6 yr Budget-detail'!F34:F41)</f>
        <v>1496700.8</v>
      </c>
      <c r="G18" s="151">
        <f>SUM('Page 10-6 yr Budget-detail'!G34:G41)</f>
        <v>1822479.75</v>
      </c>
      <c r="H18" s="200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3">
      <c r="A19" s="255" t="s">
        <v>263</v>
      </c>
      <c r="B19" s="151">
        <f>SUM('Page 10-6 yr Budget-detail'!B62:B63)</f>
        <v>0</v>
      </c>
      <c r="C19" s="151">
        <f>SUM('Page 10-6 yr Budget-detail'!C62:C63)</f>
        <v>0</v>
      </c>
      <c r="D19" s="151">
        <f>SUM('Page 10-6 yr Budget-detail'!D62:D63)</f>
        <v>0</v>
      </c>
      <c r="E19" s="151">
        <f>SUM('Page 10-6 yr Budget-detail'!E62:E63)</f>
        <v>0</v>
      </c>
      <c r="F19" s="151">
        <f>SUM('Page 10-6 yr Budget-detail'!F62:F63)</f>
        <v>0</v>
      </c>
      <c r="G19" s="151">
        <f>SUM('Page 10-6 yr Budget-detail'!G62:G63)</f>
        <v>0</v>
      </c>
      <c r="H19" s="200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3">
      <c r="A20" s="255" t="s">
        <v>264</v>
      </c>
      <c r="B20" s="151">
        <f>SUM('Page 10-6 yr Budget-detail'!B42:B49)+'Page 10-6 yr Budget-detail'!B54+SUM('Page 10-6 yr Budget-detail'!B55:B61)</f>
        <v>0</v>
      </c>
      <c r="C20" s="151">
        <f>SUM('Page 10-6 yr Budget-detail'!C42:C49)+'Page 10-6 yr Budget-detail'!C54+SUM('Page 10-6 yr Budget-detail'!C55:C61)</f>
        <v>11608.1</v>
      </c>
      <c r="D20" s="151">
        <f>SUM('Page 10-6 yr Budget-detail'!D42:D49)+'Page 10-6 yr Budget-detail'!D54+SUM('Page 10-6 yr Budget-detail'!D55:D61)</f>
        <v>16822.2</v>
      </c>
      <c r="E20" s="151">
        <f>SUM('Page 10-6 yr Budget-detail'!E42:E49)+'Page 10-6 yr Budget-detail'!E54+SUM('Page 10-6 yr Budget-detail'!E55:E61)</f>
        <v>22312.300000000003</v>
      </c>
      <c r="F20" s="151">
        <f>SUM('Page 10-6 yr Budget-detail'!F42:F49)+'Page 10-6 yr Budget-detail'!F54+SUM('Page 10-6 yr Budget-detail'!F55:F61)</f>
        <v>28078.400000000001</v>
      </c>
      <c r="G20" s="151">
        <f>SUM('Page 10-6 yr Budget-detail'!G42:G49)+'Page 10-6 yr Budget-detail'!G54+SUM('Page 10-6 yr Budget-detail'!G55:G61)</f>
        <v>34120.5</v>
      </c>
      <c r="H20" s="20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3">
      <c r="A21" s="255" t="s">
        <v>265</v>
      </c>
      <c r="B21" s="151">
        <f>SUM('Page 10-6 yr Budget-detail'!B50:B53)+'Page 10-6 yr Budget-detail'!B69-B22</f>
        <v>0</v>
      </c>
      <c r="C21" s="151">
        <f>SUM('Page 10-6 yr Budget-detail'!C50:C53)+'Page 10-6 yr Budget-detail'!C69-C22</f>
        <v>0</v>
      </c>
      <c r="D21" s="151">
        <f>SUM('Page 10-6 yr Budget-detail'!D50:D53)+'Page 10-6 yr Budget-detail'!D69-D22</f>
        <v>0</v>
      </c>
      <c r="E21" s="151">
        <f>SUM('Page 10-6 yr Budget-detail'!E50:E53)+'Page 10-6 yr Budget-detail'!E69-E22</f>
        <v>0</v>
      </c>
      <c r="F21" s="151">
        <f>SUM('Page 10-6 yr Budget-detail'!F50:F53)+'Page 10-6 yr Budget-detail'!F69-F22</f>
        <v>0</v>
      </c>
      <c r="G21" s="151">
        <f>SUM('Page 10-6 yr Budget-detail'!G50:G53)+'Page 10-6 yr Budget-detail'!G69-G22</f>
        <v>0</v>
      </c>
      <c r="H21" s="20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">
      <c r="A22" s="255" t="s">
        <v>266</v>
      </c>
      <c r="B22" s="151">
        <f>'Page 10-6 yr Budget-detail'!B53</f>
        <v>0</v>
      </c>
      <c r="C22" s="151">
        <f>'Page 10-6 yr Budget-detail'!C53</f>
        <v>0</v>
      </c>
      <c r="D22" s="151">
        <f>'Page 10-6 yr Budget-detail'!D53</f>
        <v>0</v>
      </c>
      <c r="E22" s="151">
        <f>'Page 10-6 yr Budget-detail'!E53</f>
        <v>0</v>
      </c>
      <c r="F22" s="151">
        <f>'Page 10-6 yr Budget-detail'!F53</f>
        <v>0</v>
      </c>
      <c r="G22" s="151">
        <f>'Page 10-6 yr Budget-detail'!G53</f>
        <v>0</v>
      </c>
      <c r="H22" s="20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A23" s="255" t="s">
        <v>267</v>
      </c>
      <c r="B23" s="151">
        <f>'Page 10-6 yr Budget-detail'!B74</f>
        <v>0</v>
      </c>
      <c r="C23" s="151">
        <f>'Page 10-6 yr Budget-detail'!C74</f>
        <v>0</v>
      </c>
      <c r="D23" s="151">
        <f>'Page 10-6 yr Budget-detail'!D74</f>
        <v>0</v>
      </c>
      <c r="E23" s="151">
        <f>'Page 10-6 yr Budget-detail'!E74</f>
        <v>0</v>
      </c>
      <c r="F23" s="151">
        <f>'Page 10-6 yr Budget-detail'!F74</f>
        <v>0</v>
      </c>
      <c r="G23" s="151">
        <f>'Page 10-6 yr Budget-detail'!G74</f>
        <v>0</v>
      </c>
      <c r="H23" s="20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3">
      <c r="A24" s="255" t="s">
        <v>268</v>
      </c>
      <c r="B24" s="151">
        <f>SUM('Page 10-6 yr Budget-detail'!B64:B66)</f>
        <v>0</v>
      </c>
      <c r="C24" s="151">
        <f>SUM('Page 10-6 yr Budget-detail'!C64:C66)</f>
        <v>0</v>
      </c>
      <c r="D24" s="151">
        <f>SUM('Page 10-6 yr Budget-detail'!D64:D66)</f>
        <v>0</v>
      </c>
      <c r="E24" s="151">
        <f>SUM('Page 10-6 yr Budget-detail'!E64:E66)</f>
        <v>0</v>
      </c>
      <c r="F24" s="151">
        <f>SUM('Page 10-6 yr Budget-detail'!F64:F66)</f>
        <v>0</v>
      </c>
      <c r="G24" s="151">
        <f>SUM('Page 10-6 yr Budget-detail'!G64:G66)</f>
        <v>0</v>
      </c>
      <c r="H24" s="20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3">
      <c r="A25" s="255" t="s">
        <v>269</v>
      </c>
      <c r="B25" s="151">
        <f>SUM('Page 10-6 yr Budget-detail'!B67:B68)</f>
        <v>0</v>
      </c>
      <c r="C25" s="151">
        <f>SUM('Page 10-6 yr Budget-detail'!C67:C68)</f>
        <v>0</v>
      </c>
      <c r="D25" s="151">
        <f>SUM('Page 10-6 yr Budget-detail'!D67:D68)</f>
        <v>0</v>
      </c>
      <c r="E25" s="151">
        <f>SUM('Page 10-6 yr Budget-detail'!E67:E68)</f>
        <v>0</v>
      </c>
      <c r="F25" s="151">
        <f>SUM('Page 10-6 yr Budget-detail'!F67:F68)</f>
        <v>0</v>
      </c>
      <c r="G25" s="151">
        <f>SUM('Page 10-6 yr Budget-detail'!G67:G68)</f>
        <v>0</v>
      </c>
      <c r="H25" s="20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255" t="s">
        <v>270</v>
      </c>
      <c r="B26" s="151">
        <f>SUM('Page 10-6 yr Budget-detail'!B71)</f>
        <v>0</v>
      </c>
      <c r="C26" s="151">
        <f>SUM('Page 10-6 yr Budget-detail'!C71)</f>
        <v>0</v>
      </c>
      <c r="D26" s="151">
        <f>SUM('Page 10-6 yr Budget-detail'!D71)</f>
        <v>0</v>
      </c>
      <c r="E26" s="151">
        <f>SUM('Page 10-6 yr Budget-detail'!E71)</f>
        <v>0</v>
      </c>
      <c r="F26" s="151">
        <f>SUM('Page 10-6 yr Budget-detail'!F71)</f>
        <v>0</v>
      </c>
      <c r="G26" s="151">
        <f>SUM('Page 10-6 yr Budget-detail'!G71)</f>
        <v>0</v>
      </c>
      <c r="H26" s="20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255" t="s">
        <v>271</v>
      </c>
      <c r="B27" s="151">
        <f>SUM('Page 10-6 yr Budget-detail'!B70)</f>
        <v>0</v>
      </c>
      <c r="C27" s="151">
        <f>SUM('Page 10-6 yr Budget-detail'!C70)</f>
        <v>0</v>
      </c>
      <c r="D27" s="151">
        <f>SUM('Page 10-6 yr Budget-detail'!D70)</f>
        <v>0</v>
      </c>
      <c r="E27" s="151">
        <f>SUM('Page 10-6 yr Budget-detail'!E70)</f>
        <v>0</v>
      </c>
      <c r="F27" s="151">
        <f>SUM('Page 10-6 yr Budget-detail'!F70)</f>
        <v>0</v>
      </c>
      <c r="G27" s="151">
        <f>SUM('Page 10-6 yr Budget-detail'!G70)</f>
        <v>0</v>
      </c>
      <c r="H27" s="20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3">
      <c r="A28" s="255" t="s">
        <v>272</v>
      </c>
      <c r="B28" s="151">
        <f>'Page 10-6 yr Budget-detail'!B73</f>
        <v>0</v>
      </c>
      <c r="C28" s="151">
        <f>'Page 10-6 yr Budget-detail'!C73</f>
        <v>0</v>
      </c>
      <c r="D28" s="151">
        <f>'Page 10-6 yr Budget-detail'!D73</f>
        <v>0</v>
      </c>
      <c r="E28" s="151">
        <f>'Page 10-6 yr Budget-detail'!E73</f>
        <v>0</v>
      </c>
      <c r="F28" s="151">
        <f>'Page 10-6 yr Budget-detail'!F73</f>
        <v>0</v>
      </c>
      <c r="G28" s="151">
        <f>'Page 10-6 yr Budget-detail'!G73</f>
        <v>0</v>
      </c>
      <c r="H28" s="20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3">
      <c r="A29" s="255" t="s">
        <v>273</v>
      </c>
      <c r="B29" s="151">
        <f>'Page 10-6 yr Budget-detail'!B72+'Page 10-6 yr Budget-detail'!B75</f>
        <v>0</v>
      </c>
      <c r="C29" s="151">
        <f>'Page 10-6 yr Budget-detail'!C72+'Page 10-6 yr Budget-detail'!C75</f>
        <v>0</v>
      </c>
      <c r="D29" s="151">
        <f>'Page 10-6 yr Budget-detail'!D72+'Page 10-6 yr Budget-detail'!D75</f>
        <v>0</v>
      </c>
      <c r="E29" s="151">
        <f>'Page 10-6 yr Budget-detail'!E72+'Page 10-6 yr Budget-detail'!E75</f>
        <v>0</v>
      </c>
      <c r="F29" s="151">
        <f>'Page 10-6 yr Budget-detail'!F72+'Page 10-6 yr Budget-detail'!F75</f>
        <v>0</v>
      </c>
      <c r="G29" s="151">
        <f>'Page 10-6 yr Budget-detail'!G72+'Page 10-6 yr Budget-detail'!G75</f>
        <v>0</v>
      </c>
      <c r="H29" s="20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3">
      <c r="A30" s="257" t="s">
        <v>220</v>
      </c>
      <c r="B30" s="260">
        <f t="shared" ref="B30:G30" si="1">SUM(B18:B29)</f>
        <v>0</v>
      </c>
      <c r="C30" s="261">
        <f t="shared" si="1"/>
        <v>626585.04999999993</v>
      </c>
      <c r="D30" s="261">
        <f t="shared" si="1"/>
        <v>909861.6</v>
      </c>
      <c r="E30" s="261">
        <f t="shared" si="1"/>
        <v>1209229.6500000001</v>
      </c>
      <c r="F30" s="261">
        <f t="shared" si="1"/>
        <v>1524779.2</v>
      </c>
      <c r="G30" s="261">
        <f t="shared" si="1"/>
        <v>1856600.25</v>
      </c>
      <c r="H30" s="20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3">
      <c r="A31" s="257" t="s">
        <v>221</v>
      </c>
      <c r="B31" s="151">
        <f t="shared" ref="B31:G31" si="2">B15-B30</f>
        <v>0</v>
      </c>
      <c r="C31" s="141">
        <f t="shared" si="2"/>
        <v>-624585.04999999993</v>
      </c>
      <c r="D31" s="141">
        <f t="shared" si="2"/>
        <v>-907861.6</v>
      </c>
      <c r="E31" s="141">
        <f t="shared" si="2"/>
        <v>-1207229.6500000001</v>
      </c>
      <c r="F31" s="141">
        <f t="shared" si="2"/>
        <v>-1522779.2</v>
      </c>
      <c r="G31" s="141">
        <f t="shared" si="2"/>
        <v>-1854600.25</v>
      </c>
      <c r="H31" s="20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6.75" customHeight="1" x14ac:dyDescent="0.3">
      <c r="A32" s="259"/>
      <c r="B32" s="151"/>
      <c r="C32" s="141"/>
      <c r="D32" s="141"/>
      <c r="E32" s="141"/>
      <c r="F32" s="141"/>
      <c r="G32" s="141"/>
      <c r="H32" s="200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3">
      <c r="A33" s="257" t="s">
        <v>222</v>
      </c>
      <c r="B33" s="151"/>
      <c r="C33" s="141"/>
      <c r="D33" s="151"/>
      <c r="E33" s="151"/>
      <c r="F33" s="151"/>
      <c r="G33" s="151"/>
      <c r="H33" s="20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3">
      <c r="A34" s="262" t="s">
        <v>223</v>
      </c>
      <c r="B34" s="141"/>
      <c r="C34" s="141">
        <f>'Page 5-Year 1'!E81</f>
        <v>0</v>
      </c>
      <c r="D34" s="151">
        <f>'Page 6-Year 2'!E81</f>
        <v>0</v>
      </c>
      <c r="E34" s="151">
        <f>'Page 7-Year 3'!E81</f>
        <v>0</v>
      </c>
      <c r="F34" s="151">
        <f>'Page 8-Year 4'!E81</f>
        <v>0</v>
      </c>
      <c r="G34" s="151">
        <f>'Page 9-Year 5'!E81</f>
        <v>0</v>
      </c>
      <c r="H34" s="200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3">
      <c r="A35" s="262" t="s">
        <v>274</v>
      </c>
      <c r="B35" s="256"/>
      <c r="C35" s="256">
        <f>'Page 5-Year 1'!E82</f>
        <v>0</v>
      </c>
      <c r="D35" s="256">
        <f>'Page 6-Year 2'!E82</f>
        <v>0</v>
      </c>
      <c r="E35" s="256">
        <f>'Page 7-Year 3'!E82</f>
        <v>0</v>
      </c>
      <c r="F35" s="256">
        <f>'Page 8-Year 4'!E82</f>
        <v>0</v>
      </c>
      <c r="G35" s="256">
        <f>'Page 9-Year 5'!E82</f>
        <v>0</v>
      </c>
      <c r="H35" s="20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3">
      <c r="A36" s="263" t="s">
        <v>225</v>
      </c>
      <c r="B36" s="264">
        <f t="shared" ref="B36:G36" si="3">B31+B35</f>
        <v>0</v>
      </c>
      <c r="C36" s="264">
        <f t="shared" si="3"/>
        <v>-624585.04999999993</v>
      </c>
      <c r="D36" s="264">
        <f t="shared" si="3"/>
        <v>-907861.6</v>
      </c>
      <c r="E36" s="264">
        <f t="shared" si="3"/>
        <v>-1207229.6500000001</v>
      </c>
      <c r="F36" s="264">
        <f t="shared" si="3"/>
        <v>-1522779.2</v>
      </c>
      <c r="G36" s="264">
        <f t="shared" si="3"/>
        <v>-1854600.25</v>
      </c>
      <c r="H36" s="20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">
      <c r="A37" s="263"/>
      <c r="B37" s="265"/>
      <c r="C37" s="265"/>
      <c r="D37" s="265"/>
      <c r="E37" s="265"/>
      <c r="F37" s="265"/>
      <c r="G37" s="265"/>
      <c r="H37" s="20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" customHeight="1" x14ac:dyDescent="0.3">
      <c r="A38" s="263"/>
      <c r="B38" s="265"/>
      <c r="C38" s="265"/>
      <c r="D38" s="265"/>
      <c r="E38" s="265"/>
      <c r="F38" s="265"/>
      <c r="G38" s="265"/>
      <c r="H38" s="20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">
      <c r="A39" s="226" t="s">
        <v>226</v>
      </c>
      <c r="B39" s="265">
        <f>'Page 10-6 yr Budget-detail'!B86</f>
        <v>0</v>
      </c>
      <c r="C39" s="265">
        <f>'Page 10-6 yr Budget-detail'!C86</f>
        <v>0</v>
      </c>
      <c r="D39" s="265">
        <f>'Page 10-6 yr Budget-detail'!D86</f>
        <v>-624585.04999999993</v>
      </c>
      <c r="E39" s="265">
        <f>'Page 10-6 yr Budget-detail'!E86</f>
        <v>-1532446.65</v>
      </c>
      <c r="F39" s="265">
        <f>'Page 10-6 yr Budget-detail'!F86</f>
        <v>-2739676.3</v>
      </c>
      <c r="G39" s="265">
        <f>'Page 10-6 yr Budget-detail'!G86</f>
        <v>-4262455.5</v>
      </c>
      <c r="H39" s="20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" customHeight="1" x14ac:dyDescent="0.3">
      <c r="A40" s="226"/>
      <c r="B40" s="265"/>
      <c r="C40" s="265"/>
      <c r="D40" s="265"/>
      <c r="E40" s="265"/>
      <c r="F40" s="265"/>
      <c r="G40" s="265"/>
      <c r="H40" s="20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3">
      <c r="A41" s="226" t="s">
        <v>227</v>
      </c>
      <c r="B41" s="265">
        <f>'Page 10-6 yr Budget-detail'!B88</f>
        <v>0</v>
      </c>
      <c r="C41" s="265">
        <f>'Page 10-6 yr Budget-detail'!C88</f>
        <v>-624585.04999999993</v>
      </c>
      <c r="D41" s="265">
        <f>'Page 10-6 yr Budget-detail'!D88</f>
        <v>-1532446.65</v>
      </c>
      <c r="E41" s="265">
        <f>'Page 10-6 yr Budget-detail'!E88</f>
        <v>-2739676.3</v>
      </c>
      <c r="F41" s="265">
        <f>'Page 10-6 yr Budget-detail'!F88</f>
        <v>-4262455.5</v>
      </c>
      <c r="G41" s="265">
        <f>'Page 10-6 yr Budget-detail'!G88</f>
        <v>-6117055.75</v>
      </c>
      <c r="H41" s="20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">
      <c r="A42" s="262" t="s">
        <v>228</v>
      </c>
      <c r="B42" s="266">
        <f>'Page 10-6 yr Budget-detail'!B89</f>
        <v>0</v>
      </c>
      <c r="C42" s="266">
        <f>'Page 10-6 yr Budget-detail'!C89</f>
        <v>0</v>
      </c>
      <c r="D42" s="266">
        <f>'Page 10-6 yr Budget-detail'!D89</f>
        <v>0</v>
      </c>
      <c r="E42" s="266">
        <f>'Page 10-6 yr Budget-detail'!E89</f>
        <v>0</v>
      </c>
      <c r="F42" s="266">
        <f>'Page 10-6 yr Budget-detail'!F89</f>
        <v>0</v>
      </c>
      <c r="G42" s="266">
        <f>'Page 10-6 yr Budget-detail'!G89</f>
        <v>0</v>
      </c>
      <c r="H42" s="20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3">
      <c r="A43" s="262" t="s">
        <v>229</v>
      </c>
      <c r="B43" s="266">
        <f>'Page 10-6 yr Budget-detail'!B90</f>
        <v>0</v>
      </c>
      <c r="C43" s="266">
        <f>'Page 10-6 yr Budget-detail'!C90</f>
        <v>-624585.04999999993</v>
      </c>
      <c r="D43" s="266">
        <f>'Page 10-6 yr Budget-detail'!D90</f>
        <v>-1532446.65</v>
      </c>
      <c r="E43" s="266">
        <f>'Page 10-6 yr Budget-detail'!E90</f>
        <v>-2739676.3</v>
      </c>
      <c r="F43" s="266">
        <f>'Page 10-6 yr Budget-detail'!F90</f>
        <v>-4262455.5</v>
      </c>
      <c r="G43" s="266">
        <f>'Page 10-6 yr Budget-detail'!G90</f>
        <v>-6117055.75</v>
      </c>
      <c r="H43" s="20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3">
      <c r="A44" s="267" t="s">
        <v>275</v>
      </c>
      <c r="B44" s="268" t="str">
        <f>IFERROR('Page 10-6 yr Budget-detail'!B91,"N/A")</f>
        <v>N/A</v>
      </c>
      <c r="C44" s="268">
        <f>'Page 10-6 yr Budget-detail'!C91</f>
        <v>-0.99680809492661848</v>
      </c>
      <c r="D44" s="268">
        <f>'Page 10-6 yr Budget-detail'!D91</f>
        <v>-1.6842634638059237</v>
      </c>
      <c r="E44" s="268">
        <f>'Page 10-6 yr Budget-detail'!E91</f>
        <v>-2.2656377140603521</v>
      </c>
      <c r="F44" s="268">
        <f>'Page 10-6 yr Budget-detail'!F91</f>
        <v>-2.7954575324742099</v>
      </c>
      <c r="G44" s="268">
        <f>'Page 10-6 yr Budget-detail'!G91</f>
        <v>-3.2947618907193403</v>
      </c>
      <c r="H44" s="269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</sheetData>
  <printOptions horizontalCentered="1"/>
  <pageMargins left="0.17013888888888901" right="0.17013888888888901" top="0.45" bottom="0.15972222222222199" header="0.51180555555555496" footer="0.51180555555555496"/>
  <pageSetup firstPageNumber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="110" zoomScaleNormal="110" zoomScalePageLayoutView="110" workbookViewId="0">
      <selection activeCell="C5" sqref="C5"/>
    </sheetView>
  </sheetViews>
  <sheetFormatPr defaultColWidth="8.88671875" defaultRowHeight="13.2" x14ac:dyDescent="0.25"/>
  <cols>
    <col min="1" max="1" width="52" customWidth="1"/>
    <col min="2" max="6" width="11.44140625" customWidth="1"/>
    <col min="7" max="26" width="8.6640625" customWidth="1"/>
    <col min="27" max="1025" width="14.44140625" customWidth="1"/>
  </cols>
  <sheetData>
    <row r="1" spans="1:26" ht="12.75" customHeight="1" x14ac:dyDescent="0.3">
      <c r="A1" s="1" t="s">
        <v>276</v>
      </c>
      <c r="B1" s="270" t="s">
        <v>304</v>
      </c>
      <c r="C1" s="270" t="s">
        <v>305</v>
      </c>
      <c r="D1" s="270" t="s">
        <v>306</v>
      </c>
      <c r="E1" s="11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3">
      <c r="A2" s="271" t="s">
        <v>277</v>
      </c>
      <c r="B2" s="112"/>
      <c r="C2" s="112"/>
      <c r="D2" s="112"/>
      <c r="E2" s="1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3">
      <c r="A3" s="2"/>
      <c r="B3" s="112"/>
      <c r="C3" s="112"/>
      <c r="D3" s="112"/>
      <c r="E3" s="1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3">
      <c r="A4" s="1" t="s">
        <v>177</v>
      </c>
      <c r="B4" s="307"/>
      <c r="C4" s="307"/>
      <c r="D4" s="307"/>
      <c r="E4" s="27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2"/>
      <c r="B5" s="112"/>
      <c r="C5" s="112"/>
      <c r="D5" s="112"/>
      <c r="E5" s="1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3">
      <c r="A6" s="271" t="s">
        <v>278</v>
      </c>
      <c r="B6" s="308"/>
      <c r="C6" s="308"/>
      <c r="D6" s="308"/>
      <c r="E6" s="1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3">
      <c r="A7" s="271" t="s">
        <v>279</v>
      </c>
      <c r="B7" s="308"/>
      <c r="C7" s="308"/>
      <c r="D7" s="308"/>
      <c r="E7" s="11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3">
      <c r="A8" s="271" t="s">
        <v>280</v>
      </c>
      <c r="B8" s="308"/>
      <c r="C8" s="308"/>
      <c r="D8" s="308"/>
      <c r="E8" s="11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271" t="s">
        <v>281</v>
      </c>
      <c r="B9" s="308"/>
      <c r="C9" s="308"/>
      <c r="D9" s="308"/>
      <c r="E9" s="11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271" t="s">
        <v>282</v>
      </c>
      <c r="B10" s="308"/>
      <c r="C10" s="308"/>
      <c r="D10" s="308"/>
      <c r="E10" s="11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271" t="s">
        <v>283</v>
      </c>
      <c r="B11" s="308"/>
      <c r="C11" s="308"/>
      <c r="D11" s="308"/>
      <c r="E11" s="1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">
      <c r="A12" s="271" t="s">
        <v>284</v>
      </c>
      <c r="B12" s="308"/>
      <c r="C12" s="308"/>
      <c r="D12" s="308"/>
      <c r="E12" s="1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">
      <c r="A13" s="271" t="s">
        <v>285</v>
      </c>
      <c r="B13" s="308"/>
      <c r="C13" s="308"/>
      <c r="D13" s="308"/>
      <c r="E13" s="1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271" t="s">
        <v>286</v>
      </c>
      <c r="B14" s="308"/>
      <c r="C14" s="308"/>
      <c r="D14" s="308"/>
      <c r="E14" s="11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271" t="s">
        <v>287</v>
      </c>
      <c r="B15" s="308"/>
      <c r="C15" s="308"/>
      <c r="D15" s="308"/>
      <c r="E15" s="11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">
      <c r="A16" s="271" t="s">
        <v>288</v>
      </c>
      <c r="B16" s="308"/>
      <c r="C16" s="308"/>
      <c r="D16" s="308"/>
      <c r="E16" s="11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3">
      <c r="A17" s="271" t="s">
        <v>289</v>
      </c>
      <c r="B17" s="308"/>
      <c r="C17" s="308"/>
      <c r="D17" s="308"/>
      <c r="E17" s="11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3">
      <c r="A18" s="271" t="s">
        <v>290</v>
      </c>
      <c r="B18" s="308"/>
      <c r="C18" s="308"/>
      <c r="D18" s="308"/>
      <c r="E18" s="11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3">
      <c r="A19" s="271" t="s">
        <v>291</v>
      </c>
      <c r="B19" s="308"/>
      <c r="C19" s="308"/>
      <c r="D19" s="308"/>
      <c r="E19" s="11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3">
      <c r="A20" s="271" t="s">
        <v>292</v>
      </c>
      <c r="B20" s="308"/>
      <c r="C20" s="308"/>
      <c r="D20" s="308"/>
      <c r="E20" s="11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3">
      <c r="A21" s="271" t="s">
        <v>293</v>
      </c>
      <c r="B21" s="308"/>
      <c r="C21" s="308"/>
      <c r="D21" s="308"/>
      <c r="E21" s="11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">
      <c r="A22" s="2" t="s">
        <v>294</v>
      </c>
      <c r="B22" s="308"/>
      <c r="C22" s="308"/>
      <c r="D22" s="308"/>
      <c r="E22" s="11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A23" s="2"/>
      <c r="B23" s="308"/>
      <c r="C23" s="308"/>
      <c r="D23" s="308"/>
      <c r="E23" s="11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3">
      <c r="A24" s="2"/>
      <c r="B24" s="308"/>
      <c r="C24" s="308"/>
      <c r="D24" s="308"/>
      <c r="E24" s="11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3">
      <c r="A25" s="2"/>
      <c r="B25" s="308"/>
      <c r="C25" s="308"/>
      <c r="D25" s="308"/>
      <c r="E25" s="11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2"/>
      <c r="B26" s="308"/>
      <c r="C26" s="308"/>
      <c r="D26" s="308"/>
      <c r="E26" s="11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2"/>
      <c r="B27" s="308"/>
      <c r="C27" s="308"/>
      <c r="D27" s="308"/>
      <c r="E27" s="11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3">
      <c r="A28" s="2"/>
      <c r="B28" s="308"/>
      <c r="C28" s="308"/>
      <c r="D28" s="308"/>
      <c r="E28" s="11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3">
      <c r="A29" s="2"/>
      <c r="B29" s="308"/>
      <c r="C29" s="308"/>
      <c r="D29" s="308"/>
      <c r="E29" s="11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3">
      <c r="A30" s="2"/>
      <c r="B30" s="308"/>
      <c r="C30" s="308"/>
      <c r="D30" s="308"/>
      <c r="E30" s="11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3">
      <c r="A31" s="2"/>
      <c r="B31" s="308"/>
      <c r="C31" s="308"/>
      <c r="D31" s="308"/>
      <c r="E31" s="11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3">
      <c r="A32" s="2"/>
      <c r="B32" s="309"/>
      <c r="C32" s="309"/>
      <c r="D32" s="309"/>
      <c r="E32" s="11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3">
      <c r="A33" s="1" t="s">
        <v>153</v>
      </c>
      <c r="B33" s="272">
        <f>SUM(B6:B32)</f>
        <v>0</v>
      </c>
      <c r="C33" s="272">
        <f>SUM(C6:C32)</f>
        <v>0</v>
      </c>
      <c r="D33" s="272">
        <f>SUM(D6:D32)</f>
        <v>0</v>
      </c>
      <c r="E33" s="27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2"/>
      <c r="B34" s="112"/>
      <c r="C34" s="112"/>
      <c r="D34" s="112"/>
      <c r="E34" s="11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3">
      <c r="A35" s="2" t="s">
        <v>295</v>
      </c>
      <c r="B35" s="112">
        <f>B4-B33</f>
        <v>0</v>
      </c>
      <c r="C35" s="112">
        <f t="shared" ref="C35:D35" si="0">C4-C33</f>
        <v>0</v>
      </c>
      <c r="D35" s="112">
        <f t="shared" si="0"/>
        <v>0</v>
      </c>
      <c r="E35" s="11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</sheetData>
  <pageMargins left="0.7" right="0.7" top="0.75" bottom="0.75" header="0.51180555555555496" footer="0.51180555555555496"/>
  <pageSetup firstPageNumber="0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="110" zoomScaleNormal="110" zoomScalePageLayoutView="110" workbookViewId="0">
      <selection activeCell="A28" sqref="A28:H28"/>
    </sheetView>
  </sheetViews>
  <sheetFormatPr defaultColWidth="8.88671875" defaultRowHeight="13.2" x14ac:dyDescent="0.25"/>
  <cols>
    <col min="1" max="11" width="11.44140625" customWidth="1"/>
    <col min="12" max="26" width="8.6640625" customWidth="1"/>
    <col min="27" max="1025" width="14.44140625" customWidth="1"/>
  </cols>
  <sheetData>
    <row r="1" spans="1:26" ht="12.75" customHeight="1" x14ac:dyDescent="0.3">
      <c r="A1" s="10"/>
      <c r="B1" s="10"/>
      <c r="C1" s="10"/>
      <c r="D1" s="10"/>
      <c r="E1" s="10"/>
      <c r="F1" s="10"/>
      <c r="G1" s="10"/>
      <c r="H1" s="10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3">
      <c r="A2" s="10"/>
      <c r="B2" s="10"/>
      <c r="C2" s="10"/>
      <c r="D2" s="10"/>
      <c r="E2" s="10"/>
      <c r="F2" s="10"/>
      <c r="G2" s="10"/>
      <c r="H2" s="1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3">
      <c r="A3" s="10"/>
      <c r="B3" s="10"/>
      <c r="C3" s="10"/>
      <c r="D3" s="10"/>
      <c r="E3" s="10"/>
      <c r="F3" s="10"/>
      <c r="G3" s="10"/>
      <c r="H3" s="1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3">
      <c r="A4" s="10"/>
      <c r="B4" s="10"/>
      <c r="C4" s="10"/>
      <c r="D4" s="10"/>
      <c r="E4" s="10"/>
      <c r="F4" s="10"/>
      <c r="G4" s="10"/>
      <c r="H4" s="1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3">
      <c r="A5" s="10"/>
      <c r="B5" s="10"/>
      <c r="C5" s="10"/>
      <c r="D5" s="10"/>
      <c r="E5" s="10"/>
      <c r="F5" s="10"/>
      <c r="G5" s="10"/>
      <c r="H5" s="1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3">
      <c r="A6" s="10"/>
      <c r="B6" s="10"/>
      <c r="C6" s="10"/>
      <c r="D6" s="10"/>
      <c r="E6" s="10"/>
      <c r="F6" s="10"/>
      <c r="G6" s="10"/>
      <c r="H6" s="1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3">
      <c r="A7" s="10"/>
      <c r="B7" s="10"/>
      <c r="C7" s="10"/>
      <c r="D7" s="10"/>
      <c r="E7" s="10"/>
      <c r="F7" s="10"/>
      <c r="G7" s="10"/>
      <c r="H7" s="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3">
      <c r="A8" s="10"/>
      <c r="B8" s="10"/>
      <c r="C8" s="10"/>
      <c r="D8" s="10"/>
      <c r="E8" s="10"/>
      <c r="F8" s="10"/>
      <c r="G8" s="10"/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10"/>
      <c r="B9" s="10"/>
      <c r="C9" s="10"/>
      <c r="D9" s="10"/>
      <c r="E9" s="10"/>
      <c r="F9" s="10"/>
      <c r="G9" s="10"/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10"/>
      <c r="B10" s="10"/>
      <c r="C10" s="11" t="s">
        <v>26</v>
      </c>
      <c r="D10" s="12" t="s">
        <v>27</v>
      </c>
      <c r="E10" s="11"/>
      <c r="F10" s="10"/>
      <c r="G10" s="10"/>
      <c r="H10" s="1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10"/>
      <c r="B11" s="10"/>
      <c r="C11" s="10"/>
      <c r="D11" s="10"/>
      <c r="E11" s="10"/>
      <c r="F11" s="10"/>
      <c r="G11" s="10"/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">
      <c r="A12" s="10"/>
      <c r="B12" s="10"/>
      <c r="C12" s="10"/>
      <c r="D12" s="10"/>
      <c r="E12" s="10"/>
      <c r="F12" s="10"/>
      <c r="G12" s="10"/>
      <c r="H12" s="1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">
      <c r="A13" s="10"/>
      <c r="B13" s="10"/>
      <c r="C13" s="10"/>
      <c r="D13" s="10"/>
      <c r="E13" s="10"/>
      <c r="F13" s="10"/>
      <c r="G13" s="10"/>
      <c r="H13" s="1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10"/>
      <c r="B14" s="10"/>
      <c r="C14" s="10"/>
      <c r="D14" s="10"/>
      <c r="E14" s="10"/>
      <c r="F14" s="10"/>
      <c r="G14" s="10"/>
      <c r="H14" s="1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10"/>
      <c r="B15" s="10"/>
      <c r="C15" s="10"/>
      <c r="D15" s="10"/>
      <c r="E15" s="10"/>
      <c r="F15" s="10"/>
      <c r="G15" s="10"/>
      <c r="H15" s="1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">
      <c r="A16" s="10"/>
      <c r="B16" s="10"/>
      <c r="C16" s="10"/>
      <c r="D16" s="10"/>
      <c r="E16" s="10"/>
      <c r="F16" s="10"/>
      <c r="G16" s="10"/>
      <c r="H16" s="1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6.5" customHeight="1" x14ac:dyDescent="0.3">
      <c r="A17" s="318"/>
      <c r="B17" s="318"/>
      <c r="C17" s="318"/>
      <c r="D17" s="318"/>
      <c r="E17" s="318"/>
      <c r="F17" s="318"/>
      <c r="G17" s="318"/>
      <c r="H17" s="318"/>
      <c r="I17" s="2"/>
      <c r="J17" s="2"/>
      <c r="K17" s="2" t="s">
        <v>26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6.5" customHeight="1" x14ac:dyDescent="0.3">
      <c r="A18" s="318"/>
      <c r="B18" s="318"/>
      <c r="C18" s="318"/>
      <c r="D18" s="318"/>
      <c r="E18" s="318"/>
      <c r="F18" s="318"/>
      <c r="G18" s="318"/>
      <c r="H18" s="318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3">
      <c r="A19" s="10"/>
      <c r="B19" s="10"/>
      <c r="C19" s="10"/>
      <c r="D19" s="10"/>
      <c r="E19" s="10"/>
      <c r="F19" s="10"/>
      <c r="G19" s="10"/>
      <c r="H19" s="10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3">
      <c r="A20" s="10"/>
      <c r="B20" s="10"/>
      <c r="C20" s="10"/>
      <c r="D20" s="10"/>
      <c r="E20" s="10"/>
      <c r="F20" s="10"/>
      <c r="G20" s="10"/>
      <c r="H20" s="1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.75" customHeight="1" x14ac:dyDescent="0.55000000000000004">
      <c r="A21" s="319" t="s">
        <v>28</v>
      </c>
      <c r="B21" s="319"/>
      <c r="C21" s="319"/>
      <c r="D21" s="319"/>
      <c r="E21" s="319"/>
      <c r="F21" s="319"/>
      <c r="G21" s="319"/>
      <c r="H21" s="319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">
      <c r="A22" s="10"/>
      <c r="B22" s="10"/>
      <c r="C22" s="10"/>
      <c r="D22" s="10"/>
      <c r="E22" s="10"/>
      <c r="F22" s="10"/>
      <c r="G22" s="10"/>
      <c r="H22" s="1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A23" s="10"/>
      <c r="B23" s="10"/>
      <c r="C23" s="10"/>
      <c r="D23" s="10"/>
      <c r="E23" s="10"/>
      <c r="F23" s="10"/>
      <c r="G23" s="10"/>
      <c r="H23" s="1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 x14ac:dyDescent="0.45">
      <c r="A24" s="320" t="s">
        <v>29</v>
      </c>
      <c r="B24" s="320"/>
      <c r="C24" s="320"/>
      <c r="D24" s="320"/>
      <c r="E24" s="320"/>
      <c r="F24" s="320"/>
      <c r="G24" s="320"/>
      <c r="H24" s="32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3">
      <c r="A25" s="10"/>
      <c r="B25" s="10"/>
      <c r="C25" s="10"/>
      <c r="D25" s="10"/>
      <c r="E25" s="10"/>
      <c r="F25" s="10"/>
      <c r="G25" s="10"/>
      <c r="H25" s="1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10"/>
      <c r="B26" s="10"/>
      <c r="C26" s="10"/>
      <c r="D26" s="10"/>
      <c r="E26" s="10"/>
      <c r="F26" s="10"/>
      <c r="G26" s="10"/>
      <c r="H26" s="1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10"/>
      <c r="B27" s="10"/>
      <c r="C27" s="10"/>
      <c r="D27" s="10"/>
      <c r="E27" s="10"/>
      <c r="F27" s="10"/>
      <c r="G27" s="10"/>
      <c r="H27" s="1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.75" customHeight="1" x14ac:dyDescent="0.45">
      <c r="A28" s="316" t="s">
        <v>30</v>
      </c>
      <c r="B28" s="316"/>
      <c r="C28" s="316"/>
      <c r="D28" s="316"/>
      <c r="E28" s="316"/>
      <c r="F28" s="316"/>
      <c r="G28" s="316"/>
      <c r="H28" s="31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.75" customHeight="1" x14ac:dyDescent="0.35">
      <c r="A29" s="321"/>
      <c r="B29" s="321"/>
      <c r="C29" s="321"/>
      <c r="D29" s="321"/>
      <c r="E29" s="321"/>
      <c r="F29" s="321"/>
      <c r="G29" s="321"/>
      <c r="H29" s="32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3">
      <c r="A30" s="10"/>
      <c r="B30" s="10"/>
      <c r="C30" s="10"/>
      <c r="D30" s="10"/>
      <c r="E30" s="10"/>
      <c r="F30" s="10"/>
      <c r="G30" s="10"/>
      <c r="H30" s="1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2.5" customHeight="1" x14ac:dyDescent="0.45">
      <c r="A31" s="316" t="s">
        <v>31</v>
      </c>
      <c r="B31" s="316"/>
      <c r="C31" s="316"/>
      <c r="D31" s="316"/>
      <c r="E31" s="316"/>
      <c r="F31" s="316"/>
      <c r="G31" s="316"/>
      <c r="H31" s="316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35">
      <c r="A32" s="317"/>
      <c r="B32" s="317"/>
      <c r="C32" s="317"/>
      <c r="D32" s="317"/>
      <c r="E32" s="317"/>
      <c r="F32" s="317"/>
      <c r="G32" s="317"/>
      <c r="H32" s="317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3">
      <c r="A33" s="10"/>
      <c r="B33" s="10"/>
      <c r="C33" s="10"/>
      <c r="D33" s="10"/>
      <c r="E33" s="13"/>
      <c r="F33" s="10"/>
      <c r="G33" s="10"/>
      <c r="H33" s="1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3">
      <c r="A34" s="10"/>
      <c r="B34" s="10"/>
      <c r="C34" s="10"/>
      <c r="D34" s="10"/>
      <c r="E34" s="10"/>
      <c r="F34" s="10"/>
      <c r="G34" s="10"/>
      <c r="H34" s="10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3">
      <c r="A35" s="10"/>
      <c r="B35" s="10"/>
      <c r="C35" s="10"/>
      <c r="D35" s="10"/>
      <c r="E35" s="10"/>
      <c r="F35" s="10"/>
      <c r="G35" s="10"/>
      <c r="H35" s="1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3">
      <c r="A36" s="10"/>
      <c r="B36" s="10"/>
      <c r="C36" s="10"/>
      <c r="D36" s="10"/>
      <c r="E36" s="10"/>
      <c r="F36" s="10"/>
      <c r="G36" s="10"/>
      <c r="H36" s="1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">
      <c r="A37" s="10"/>
      <c r="B37" s="10"/>
      <c r="C37" s="10"/>
      <c r="D37" s="10"/>
      <c r="E37" s="10"/>
      <c r="F37" s="10"/>
      <c r="G37" s="10"/>
      <c r="H37" s="1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3">
      <c r="A38" s="10"/>
      <c r="B38" s="10"/>
      <c r="C38" s="10"/>
      <c r="D38" s="10"/>
      <c r="E38" s="10"/>
      <c r="F38" s="10"/>
      <c r="G38" s="10"/>
      <c r="H38" s="1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">
      <c r="A39" s="10"/>
      <c r="B39" s="10"/>
      <c r="C39" s="10"/>
      <c r="D39" s="10"/>
      <c r="E39" s="10"/>
      <c r="F39" s="10"/>
      <c r="G39" s="10"/>
      <c r="H39" s="1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3">
      <c r="A40" s="10"/>
      <c r="B40" s="10"/>
      <c r="C40" s="10"/>
      <c r="D40" s="10"/>
      <c r="E40" s="10"/>
      <c r="F40" s="10"/>
      <c r="G40" s="10"/>
      <c r="H40" s="1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3">
      <c r="A41" s="10"/>
      <c r="B41" s="10"/>
      <c r="C41" s="10"/>
      <c r="D41" s="10"/>
      <c r="E41" s="10"/>
      <c r="F41" s="10"/>
      <c r="G41" s="10"/>
      <c r="H41" s="1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">
      <c r="A42" s="10"/>
      <c r="B42" s="10"/>
      <c r="C42" s="10"/>
      <c r="D42" s="10"/>
      <c r="E42" s="10"/>
      <c r="F42" s="10"/>
      <c r="G42" s="10"/>
      <c r="H42" s="1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3">
      <c r="A43" s="10"/>
      <c r="B43" s="10"/>
      <c r="C43" s="10"/>
      <c r="D43" s="10"/>
      <c r="E43" s="10"/>
      <c r="F43" s="10"/>
      <c r="G43" s="10"/>
      <c r="H43" s="1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</sheetData>
  <mergeCells count="7">
    <mergeCell ref="A31:H31"/>
    <mergeCell ref="A32:H32"/>
    <mergeCell ref="A17:H18"/>
    <mergeCell ref="A21:H21"/>
    <mergeCell ref="A24:H24"/>
    <mergeCell ref="A28:H28"/>
    <mergeCell ref="A29:H29"/>
  </mergeCells>
  <pageMargins left="0.7" right="0.7" top="0.75" bottom="0.75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="110" zoomScaleNormal="110" zoomScalePageLayoutView="110" workbookViewId="0">
      <selection activeCell="B9" sqref="B9"/>
    </sheetView>
  </sheetViews>
  <sheetFormatPr defaultColWidth="8.88671875" defaultRowHeight="13.2" x14ac:dyDescent="0.25"/>
  <cols>
    <col min="1" max="1" width="20.6640625" customWidth="1"/>
    <col min="2" max="6" width="9.44140625" customWidth="1"/>
    <col min="7" max="7" width="8" customWidth="1"/>
    <col min="8" max="14" width="11.44140625" customWidth="1"/>
    <col min="15" max="26" width="8.6640625" customWidth="1"/>
    <col min="27" max="1025" width="14.44140625" customWidth="1"/>
  </cols>
  <sheetData>
    <row r="1" spans="1:26" ht="12.75" customHeight="1" x14ac:dyDescent="0.35">
      <c r="A1" s="14">
        <f>'Page 3-Assumptions'!A1</f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2.75" customHeight="1" x14ac:dyDescent="0.35">
      <c r="A2" s="14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2.75" customHeight="1" x14ac:dyDescent="0.3">
      <c r="A3" s="16"/>
      <c r="B3" s="2"/>
      <c r="C3" s="2"/>
      <c r="D3" s="2"/>
      <c r="E3" s="2"/>
      <c r="F3" s="2"/>
      <c r="G3" s="2"/>
      <c r="H3" s="2"/>
      <c r="I3" s="2"/>
      <c r="J3" s="15"/>
      <c r="K3" s="15"/>
      <c r="L3" s="15"/>
      <c r="M3" s="15"/>
      <c r="N3" s="15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3">
      <c r="A4" s="17"/>
      <c r="B4" s="322" t="s">
        <v>33</v>
      </c>
      <c r="C4" s="322"/>
      <c r="D4" s="322"/>
      <c r="E4" s="322"/>
      <c r="F4" s="322"/>
      <c r="G4" s="18"/>
      <c r="H4" s="2"/>
      <c r="I4" s="2"/>
      <c r="J4" s="15"/>
      <c r="K4" s="15"/>
      <c r="L4" s="15"/>
      <c r="M4" s="15"/>
      <c r="N4" s="15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3">
      <c r="A5" s="19"/>
      <c r="B5" s="20" t="s">
        <v>34</v>
      </c>
      <c r="C5" s="20" t="s">
        <v>35</v>
      </c>
      <c r="D5" s="20" t="s">
        <v>36</v>
      </c>
      <c r="E5" s="20" t="s">
        <v>37</v>
      </c>
      <c r="F5" s="20" t="s">
        <v>38</v>
      </c>
      <c r="G5" s="21"/>
      <c r="H5" s="2"/>
      <c r="I5" s="2"/>
      <c r="J5" s="15"/>
      <c r="K5" s="15"/>
      <c r="L5" s="15"/>
      <c r="M5" s="15"/>
      <c r="N5" s="15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3">
      <c r="A6" s="19" t="s">
        <v>39</v>
      </c>
      <c r="B6" s="310"/>
      <c r="C6" s="310"/>
      <c r="D6" s="310"/>
      <c r="E6" s="310"/>
      <c r="F6" s="310"/>
      <c r="G6" s="22"/>
      <c r="H6" s="2"/>
      <c r="I6" s="2"/>
      <c r="J6" s="15"/>
      <c r="K6" s="15"/>
      <c r="L6" s="15"/>
      <c r="M6" s="15"/>
      <c r="N6" s="15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3">
      <c r="A7" s="19" t="s">
        <v>40</v>
      </c>
      <c r="B7" s="310"/>
      <c r="C7" s="310"/>
      <c r="D7" s="310"/>
      <c r="E7" s="310"/>
      <c r="F7" s="310"/>
      <c r="G7" s="21"/>
      <c r="H7" s="2"/>
      <c r="I7" s="2"/>
      <c r="J7" s="15"/>
      <c r="K7" s="15"/>
      <c r="L7" s="15"/>
      <c r="M7" s="15"/>
      <c r="N7" s="15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3">
      <c r="A8" s="19">
        <v>1</v>
      </c>
      <c r="B8" s="310"/>
      <c r="C8" s="310"/>
      <c r="D8" s="310"/>
      <c r="E8" s="310"/>
      <c r="F8" s="310"/>
      <c r="G8" s="21"/>
      <c r="H8" s="2"/>
      <c r="I8" s="2"/>
      <c r="J8" s="15"/>
      <c r="K8" s="15"/>
      <c r="L8" s="15"/>
      <c r="M8" s="15"/>
      <c r="N8" s="15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19">
        <v>2</v>
      </c>
      <c r="B9" s="310"/>
      <c r="C9" s="310"/>
      <c r="D9" s="310"/>
      <c r="E9" s="310"/>
      <c r="F9" s="310"/>
      <c r="G9" s="21"/>
      <c r="H9" s="2"/>
      <c r="I9" s="2"/>
      <c r="J9" s="15"/>
      <c r="K9" s="15"/>
      <c r="L9" s="15"/>
      <c r="M9" s="15"/>
      <c r="N9" s="15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19">
        <v>3</v>
      </c>
      <c r="B10" s="310"/>
      <c r="C10" s="310"/>
      <c r="D10" s="310"/>
      <c r="E10" s="310"/>
      <c r="F10" s="310"/>
      <c r="G10" s="21"/>
      <c r="H10" s="2"/>
      <c r="I10" s="23"/>
      <c r="J10" s="15"/>
      <c r="K10" s="15"/>
      <c r="L10" s="15"/>
      <c r="M10" s="15"/>
      <c r="N10" s="15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19">
        <v>4</v>
      </c>
      <c r="B11" s="310"/>
      <c r="C11" s="310"/>
      <c r="D11" s="310"/>
      <c r="E11" s="310"/>
      <c r="F11" s="310"/>
      <c r="G11" s="21"/>
      <c r="H11" s="2"/>
      <c r="I11" s="2"/>
      <c r="J11" s="15"/>
      <c r="K11" s="15"/>
      <c r="L11" s="15"/>
      <c r="M11" s="15"/>
      <c r="N11" s="15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">
      <c r="A12" s="19">
        <v>5</v>
      </c>
      <c r="B12" s="310"/>
      <c r="C12" s="310"/>
      <c r="D12" s="310"/>
      <c r="E12" s="310"/>
      <c r="F12" s="310"/>
      <c r="G12" s="21"/>
      <c r="H12" s="2"/>
      <c r="I12" s="2"/>
      <c r="J12" s="15"/>
      <c r="K12" s="15"/>
      <c r="L12" s="15"/>
      <c r="M12" s="15"/>
      <c r="N12" s="15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">
      <c r="A13" s="19">
        <v>6</v>
      </c>
      <c r="B13" s="310"/>
      <c r="C13" s="310"/>
      <c r="D13" s="310"/>
      <c r="E13" s="310"/>
      <c r="F13" s="310"/>
      <c r="G13" s="21"/>
      <c r="H13" s="2"/>
      <c r="I13" s="2"/>
      <c r="J13" s="15"/>
      <c r="K13" s="15"/>
      <c r="L13" s="15"/>
      <c r="M13" s="15"/>
      <c r="N13" s="15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19">
        <v>7</v>
      </c>
      <c r="B14" s="310"/>
      <c r="C14" s="310"/>
      <c r="D14" s="310"/>
      <c r="E14" s="310"/>
      <c r="F14" s="310"/>
      <c r="G14" s="21"/>
      <c r="H14" s="2"/>
      <c r="I14" s="2"/>
      <c r="J14" s="15"/>
      <c r="K14" s="15"/>
      <c r="L14" s="15"/>
      <c r="M14" s="15"/>
      <c r="N14" s="15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19">
        <v>8</v>
      </c>
      <c r="B15" s="310"/>
      <c r="C15" s="310"/>
      <c r="D15" s="310"/>
      <c r="E15" s="310"/>
      <c r="F15" s="310"/>
      <c r="G15" s="21"/>
      <c r="H15" s="2"/>
      <c r="I15" s="2"/>
      <c r="J15" s="15"/>
      <c r="K15" s="15"/>
      <c r="L15" s="15"/>
      <c r="M15" s="15"/>
      <c r="N15" s="15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">
      <c r="A16" s="19">
        <v>9</v>
      </c>
      <c r="B16" s="310"/>
      <c r="C16" s="310"/>
      <c r="D16" s="310"/>
      <c r="E16" s="310"/>
      <c r="F16" s="310"/>
      <c r="G16" s="21"/>
      <c r="H16" s="2"/>
      <c r="I16" s="2"/>
      <c r="J16" s="15"/>
      <c r="K16" s="15"/>
      <c r="L16" s="15"/>
      <c r="M16" s="15"/>
      <c r="N16" s="15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3">
      <c r="A17" s="19">
        <v>10</v>
      </c>
      <c r="B17" s="310"/>
      <c r="C17" s="310"/>
      <c r="D17" s="310"/>
      <c r="E17" s="310"/>
      <c r="F17" s="310"/>
      <c r="G17" s="21"/>
      <c r="H17" s="2"/>
      <c r="I17" s="2"/>
      <c r="J17" s="15"/>
      <c r="K17" s="15"/>
      <c r="L17" s="15"/>
      <c r="M17" s="15"/>
      <c r="N17" s="15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3">
      <c r="A18" s="19">
        <v>11</v>
      </c>
      <c r="B18" s="310"/>
      <c r="C18" s="310"/>
      <c r="D18" s="310"/>
      <c r="E18" s="310"/>
      <c r="F18" s="310"/>
      <c r="G18" s="21"/>
      <c r="H18" s="2"/>
      <c r="I18" s="2"/>
      <c r="J18" s="15"/>
      <c r="K18" s="15"/>
      <c r="L18" s="15"/>
      <c r="M18" s="15"/>
      <c r="N18" s="15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3">
      <c r="A19" s="19">
        <v>12</v>
      </c>
      <c r="B19" s="311"/>
      <c r="C19" s="311"/>
      <c r="D19" s="311"/>
      <c r="E19" s="311"/>
      <c r="F19" s="311"/>
      <c r="G19" s="21"/>
      <c r="H19" s="2"/>
      <c r="I19" s="2"/>
      <c r="J19" s="15"/>
      <c r="K19" s="15"/>
      <c r="L19" s="15"/>
      <c r="M19" s="15"/>
      <c r="N19" s="15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3">
      <c r="A20" s="24" t="s">
        <v>41</v>
      </c>
      <c r="B20" s="25">
        <f>SUM(B6:B19)</f>
        <v>0</v>
      </c>
      <c r="C20" s="25">
        <f>SUM(C6:C19)</f>
        <v>0</v>
      </c>
      <c r="D20" s="25">
        <f>SUM(D6:D19)</f>
        <v>0</v>
      </c>
      <c r="E20" s="25">
        <f>SUM(E6:E19)</f>
        <v>0</v>
      </c>
      <c r="F20" s="25">
        <f>SUM(F6:F19)</f>
        <v>0</v>
      </c>
      <c r="G20" s="2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3">
      <c r="A21" s="24"/>
      <c r="B21" s="26"/>
      <c r="C21" s="26"/>
      <c r="D21" s="26"/>
      <c r="E21" s="26"/>
      <c r="F21" s="26"/>
      <c r="G21" s="2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">
      <c r="A22" s="24" t="s">
        <v>42</v>
      </c>
      <c r="B22" s="27">
        <f>(B7*0.58)+SUM(B8:B19)</f>
        <v>0</v>
      </c>
      <c r="C22" s="27">
        <f>(C7*0.58)+SUM(C8:C19)</f>
        <v>0</v>
      </c>
      <c r="D22" s="27">
        <f>(D7*0.58)+SUM(D8:D19)</f>
        <v>0</v>
      </c>
      <c r="E22" s="27">
        <f>(E7*0.58)+SUM(E8:E19)</f>
        <v>0</v>
      </c>
      <c r="F22" s="27">
        <f>(F7*0.58)+SUM(F8:F19)</f>
        <v>0</v>
      </c>
      <c r="G22" s="2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A23" s="28" t="s">
        <v>43</v>
      </c>
      <c r="B23" s="29"/>
      <c r="C23" s="29"/>
      <c r="D23" s="29"/>
      <c r="E23" s="29"/>
      <c r="F23" s="29"/>
      <c r="G23" s="30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5" spans="1:26" ht="12.75" customHeight="1" x14ac:dyDescent="0.25">
      <c r="C25" s="23" t="e">
        <f>(SUM(C7:C10)-SUM(B7:B10))/SUM(B7:B10)</f>
        <v>#DIV/0!</v>
      </c>
      <c r="D25" s="23" t="e">
        <f>(SUM(D7:D10)-SUM(C7:C10))/SUM(C7:C10)</f>
        <v>#DIV/0!</v>
      </c>
      <c r="E25" s="23" t="e">
        <f>(SUM(E7:E10)-SUM(D7:D10))/SUM(D7:D10)</f>
        <v>#DIV/0!</v>
      </c>
      <c r="F25" s="23" t="e">
        <f>(SUM(F7:F10)-SUM(E7:E10))/SUM(E7:E10)</f>
        <v>#DIV/0!</v>
      </c>
    </row>
  </sheetData>
  <mergeCells count="1">
    <mergeCell ref="B4:F4"/>
  </mergeCells>
  <phoneticPr fontId="46" type="noConversion"/>
  <printOptions horizontalCentered="1"/>
  <pageMargins left="0.7" right="0.7" top="0.75" bottom="0.75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="110" zoomScaleNormal="110" zoomScalePageLayoutView="110" workbookViewId="0">
      <selection activeCell="P14" sqref="P14"/>
    </sheetView>
  </sheetViews>
  <sheetFormatPr defaultColWidth="8.88671875" defaultRowHeight="13.2" x14ac:dyDescent="0.25"/>
  <cols>
    <col min="1" max="1" width="33.33203125" customWidth="1"/>
    <col min="2" max="2" width="12.44140625" customWidth="1"/>
    <col min="3" max="7" width="12" customWidth="1"/>
    <col min="8" max="8" width="2" customWidth="1"/>
    <col min="9" max="9" width="10.6640625" customWidth="1"/>
    <col min="10" max="10" width="1.6640625" customWidth="1"/>
    <col min="11" max="22" width="9.109375" customWidth="1"/>
    <col min="23" max="26" width="8.6640625" customWidth="1"/>
    <col min="27" max="1025" width="14.44140625" customWidth="1"/>
  </cols>
  <sheetData>
    <row r="1" spans="1:26" ht="12.75" customHeight="1" x14ac:dyDescent="0.35">
      <c r="A1" s="31">
        <f>'Page 3-Assumptions'!A1</f>
        <v>0</v>
      </c>
      <c r="B1" s="2"/>
      <c r="C1" s="2"/>
      <c r="D1" s="2"/>
      <c r="E1" s="32" t="s">
        <v>298</v>
      </c>
      <c r="F1" s="32"/>
      <c r="G1" s="32"/>
      <c r="H1" s="32"/>
      <c r="I1" s="3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35">
      <c r="A2" s="31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25">
      <c r="A4" s="33"/>
      <c r="B4" s="34" t="str">
        <f>'Page 10-6 yr Budget-detail'!B4</f>
        <v>YEAR 0</v>
      </c>
      <c r="C4" s="34" t="str">
        <f>'Page 10-6 yr Budget-detail'!C4</f>
        <v>YEAR 1</v>
      </c>
      <c r="D4" s="34" t="str">
        <f>'Page 10-6 yr Budget-detail'!D4</f>
        <v>YEAR 2</v>
      </c>
      <c r="E4" s="34" t="str">
        <f>'Page 10-6 yr Budget-detail'!E4</f>
        <v>YEAR 3</v>
      </c>
      <c r="F4" s="34" t="str">
        <f>'Page 10-6 yr Budget-detail'!F4</f>
        <v>YEAR 4</v>
      </c>
      <c r="G4" s="34" t="str">
        <f>'Page 10-6 yr Budget-detail'!G4</f>
        <v>YEAR 5</v>
      </c>
      <c r="H4" s="35"/>
      <c r="I4" s="323" t="s">
        <v>45</v>
      </c>
      <c r="J4" s="36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19.5" customHeight="1" x14ac:dyDescent="0.3">
      <c r="A5" s="38" t="s">
        <v>46</v>
      </c>
      <c r="B5" s="39" t="str">
        <f>'Page 4-Year 0'!E6</f>
        <v>N/A</v>
      </c>
      <c r="C5" s="40">
        <f>'Page 5-Year 1'!E5</f>
        <v>0</v>
      </c>
      <c r="D5" s="40">
        <f>'Page 6-Year 2'!E5</f>
        <v>0</v>
      </c>
      <c r="E5" s="40">
        <f>'Page 7-Year 3'!E5</f>
        <v>0</v>
      </c>
      <c r="F5" s="40">
        <f>'Page 8-Year 4'!E5</f>
        <v>0</v>
      </c>
      <c r="G5" s="40">
        <f>'Page 9-Year 5'!E5</f>
        <v>0</v>
      </c>
      <c r="H5" s="41"/>
      <c r="I5" s="323"/>
      <c r="J5" s="2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3">
      <c r="A6" s="280" t="s">
        <v>296</v>
      </c>
      <c r="B6" s="281">
        <v>0</v>
      </c>
      <c r="C6" s="281">
        <v>10</v>
      </c>
      <c r="D6" s="281">
        <v>15</v>
      </c>
      <c r="E6" s="281">
        <v>20</v>
      </c>
      <c r="F6" s="281">
        <v>25</v>
      </c>
      <c r="G6" s="282">
        <v>30</v>
      </c>
      <c r="H6" s="42"/>
      <c r="I6" s="301">
        <v>40000</v>
      </c>
      <c r="J6" s="4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3">
      <c r="A7" s="280"/>
      <c r="B7" s="281"/>
      <c r="C7" s="283"/>
      <c r="D7" s="283"/>
      <c r="E7" s="283"/>
      <c r="F7" s="283"/>
      <c r="G7" s="283"/>
      <c r="H7" s="42"/>
      <c r="I7" s="302"/>
      <c r="J7" s="4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">
      <c r="A8" s="284"/>
      <c r="B8" s="281"/>
      <c r="C8" s="281"/>
      <c r="D8" s="281"/>
      <c r="E8" s="281"/>
      <c r="F8" s="281"/>
      <c r="G8" s="283"/>
      <c r="H8" s="44"/>
      <c r="I8" s="302"/>
      <c r="J8" s="4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">
      <c r="A9" s="284"/>
      <c r="B9" s="281"/>
      <c r="C9" s="281"/>
      <c r="D9" s="281"/>
      <c r="E9" s="281"/>
      <c r="F9" s="281"/>
      <c r="G9" s="283"/>
      <c r="H9" s="26"/>
      <c r="I9" s="302"/>
      <c r="J9" s="4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280"/>
      <c r="B10" s="281"/>
      <c r="C10" s="281"/>
      <c r="D10" s="281"/>
      <c r="E10" s="281"/>
      <c r="F10" s="281"/>
      <c r="G10" s="283"/>
      <c r="H10" s="26"/>
      <c r="I10" s="302"/>
      <c r="J10" s="4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285"/>
      <c r="B11" s="281"/>
      <c r="C11" s="281"/>
      <c r="D11" s="283"/>
      <c r="E11" s="286"/>
      <c r="F11" s="281"/>
      <c r="G11" s="283"/>
      <c r="H11" s="26"/>
      <c r="I11" s="302"/>
      <c r="J11" s="4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">
      <c r="A12" s="284"/>
      <c r="B12" s="281"/>
      <c r="C12" s="281"/>
      <c r="D12" s="283"/>
      <c r="E12" s="286"/>
      <c r="F12" s="281"/>
      <c r="G12" s="283"/>
      <c r="H12" s="26"/>
      <c r="I12" s="302"/>
      <c r="J12" s="4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">
      <c r="A13" s="284"/>
      <c r="B13" s="281"/>
      <c r="C13" s="281"/>
      <c r="D13" s="283"/>
      <c r="E13" s="286"/>
      <c r="F13" s="281"/>
      <c r="G13" s="283"/>
      <c r="H13" s="26"/>
      <c r="I13" s="302"/>
      <c r="J13" s="4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287"/>
      <c r="B14" s="283"/>
      <c r="C14" s="283"/>
      <c r="D14" s="283"/>
      <c r="E14" s="283"/>
      <c r="F14" s="283"/>
      <c r="G14" s="283"/>
      <c r="H14" s="26"/>
      <c r="I14" s="303"/>
      <c r="J14" s="43"/>
      <c r="K14" s="2" t="s">
        <v>26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45" t="s">
        <v>47</v>
      </c>
      <c r="B15" s="46">
        <f t="shared" ref="B15:G15" si="0">SUM(B6:B14)</f>
        <v>0</v>
      </c>
      <c r="C15" s="46">
        <f t="shared" si="0"/>
        <v>10</v>
      </c>
      <c r="D15" s="46">
        <f t="shared" si="0"/>
        <v>15</v>
      </c>
      <c r="E15" s="46">
        <f t="shared" si="0"/>
        <v>20</v>
      </c>
      <c r="F15" s="46">
        <f t="shared" si="0"/>
        <v>25</v>
      </c>
      <c r="G15" s="46">
        <f t="shared" si="0"/>
        <v>30</v>
      </c>
      <c r="H15" s="26"/>
      <c r="I15" s="47"/>
      <c r="J15" s="4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48"/>
      <c r="X15" s="48"/>
      <c r="Y15" s="48"/>
      <c r="Z15" s="48"/>
    </row>
    <row r="16" spans="1:26" ht="12.75" customHeight="1" x14ac:dyDescent="0.3">
      <c r="A16" s="49"/>
      <c r="B16" s="42"/>
      <c r="C16" s="42"/>
      <c r="D16" s="42"/>
      <c r="E16" s="42"/>
      <c r="F16" s="42"/>
      <c r="G16" s="42"/>
      <c r="H16" s="26"/>
      <c r="I16" s="47"/>
      <c r="J16" s="43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3">
      <c r="A17" s="38" t="s">
        <v>48</v>
      </c>
      <c r="B17" s="39" t="str">
        <f t="shared" ref="B17:G17" si="1">B5</f>
        <v>N/A</v>
      </c>
      <c r="C17" s="40">
        <f t="shared" si="1"/>
        <v>0</v>
      </c>
      <c r="D17" s="40">
        <f t="shared" si="1"/>
        <v>0</v>
      </c>
      <c r="E17" s="40">
        <f t="shared" si="1"/>
        <v>0</v>
      </c>
      <c r="F17" s="40">
        <f t="shared" si="1"/>
        <v>0</v>
      </c>
      <c r="G17" s="50">
        <f t="shared" si="1"/>
        <v>0</v>
      </c>
      <c r="H17" s="42"/>
      <c r="I17" s="51"/>
      <c r="J17" s="4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3">
      <c r="A18" s="280" t="s">
        <v>297</v>
      </c>
      <c r="B18" s="288">
        <v>0</v>
      </c>
      <c r="C18" s="288">
        <v>1</v>
      </c>
      <c r="D18" s="288">
        <v>1</v>
      </c>
      <c r="E18" s="288">
        <v>1</v>
      </c>
      <c r="F18" s="288">
        <v>1</v>
      </c>
      <c r="G18" s="289">
        <v>1</v>
      </c>
      <c r="H18" s="52"/>
      <c r="I18" s="301">
        <v>90000</v>
      </c>
      <c r="J18" s="43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3">
      <c r="A19" s="280"/>
      <c r="B19" s="288"/>
      <c r="C19" s="288"/>
      <c r="D19" s="288"/>
      <c r="E19" s="288"/>
      <c r="F19" s="288"/>
      <c r="G19" s="289"/>
      <c r="H19" s="52"/>
      <c r="I19" s="302"/>
      <c r="J19" s="43"/>
      <c r="K19" s="2"/>
      <c r="L19" s="2" t="s">
        <v>26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3">
      <c r="A20" s="290"/>
      <c r="B20" s="288"/>
      <c r="C20" s="288"/>
      <c r="D20" s="288"/>
      <c r="E20" s="289"/>
      <c r="F20" s="289"/>
      <c r="G20" s="289"/>
      <c r="H20" s="52"/>
      <c r="I20" s="302"/>
      <c r="J20" s="4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3">
      <c r="A21" s="280"/>
      <c r="B21" s="288"/>
      <c r="C21" s="288"/>
      <c r="D21" s="289"/>
      <c r="E21" s="291"/>
      <c r="F21" s="289"/>
      <c r="G21" s="289"/>
      <c r="H21" s="52" t="s">
        <v>26</v>
      </c>
      <c r="I21" s="302"/>
      <c r="J21" s="4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">
      <c r="A22" s="292"/>
      <c r="B22" s="293"/>
      <c r="C22" s="293"/>
      <c r="D22" s="293"/>
      <c r="E22" s="293"/>
      <c r="F22" s="293"/>
      <c r="G22" s="293"/>
      <c r="H22" s="52"/>
      <c r="I22" s="302"/>
      <c r="J22" s="4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A23" s="280"/>
      <c r="B23" s="281"/>
      <c r="C23" s="283"/>
      <c r="D23" s="283"/>
      <c r="E23" s="294"/>
      <c r="F23" s="283"/>
      <c r="G23" s="283"/>
      <c r="H23" s="52"/>
      <c r="I23" s="302"/>
      <c r="J23" s="4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3">
      <c r="A24" s="280"/>
      <c r="B24" s="281"/>
      <c r="C24" s="283"/>
      <c r="D24" s="283"/>
      <c r="E24" s="286"/>
      <c r="F24" s="281"/>
      <c r="G24" s="283"/>
      <c r="H24" s="52"/>
      <c r="I24" s="302"/>
      <c r="J24" s="43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3">
      <c r="A25" s="280"/>
      <c r="B25" s="281"/>
      <c r="C25" s="281"/>
      <c r="D25" s="283"/>
      <c r="E25" s="286"/>
      <c r="F25" s="281"/>
      <c r="G25" s="283"/>
      <c r="H25" s="52"/>
      <c r="I25" s="302"/>
      <c r="J25" s="4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280"/>
      <c r="B26" s="281"/>
      <c r="C26" s="281"/>
      <c r="D26" s="283"/>
      <c r="E26" s="286"/>
      <c r="F26" s="281"/>
      <c r="G26" s="283"/>
      <c r="H26" s="52"/>
      <c r="I26" s="302"/>
      <c r="J26" s="4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53" t="s">
        <v>49</v>
      </c>
      <c r="B27" s="54"/>
      <c r="C27" s="55"/>
      <c r="D27" s="56"/>
      <c r="E27" s="57"/>
      <c r="F27" s="55"/>
      <c r="G27" s="56"/>
      <c r="H27" s="52"/>
      <c r="I27" s="304"/>
      <c r="J27" s="43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3">
      <c r="A28" s="295"/>
      <c r="B28" s="296"/>
      <c r="C28" s="297"/>
      <c r="D28" s="298"/>
      <c r="E28" s="299"/>
      <c r="F28" s="297"/>
      <c r="G28" s="298"/>
      <c r="H28" s="52"/>
      <c r="I28" s="304"/>
      <c r="J28" s="4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3">
      <c r="A29" s="295" t="s">
        <v>26</v>
      </c>
      <c r="B29" s="296"/>
      <c r="C29" s="297"/>
      <c r="D29" s="297"/>
      <c r="E29" s="297"/>
      <c r="F29" s="297"/>
      <c r="G29" s="300"/>
      <c r="H29" s="52"/>
      <c r="I29" s="305"/>
      <c r="J29" s="43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3">
      <c r="A30" s="58" t="s">
        <v>50</v>
      </c>
      <c r="B30" s="46">
        <f t="shared" ref="B30:G30" si="2">SUM(B18:B26)</f>
        <v>0</v>
      </c>
      <c r="C30" s="46">
        <f t="shared" si="2"/>
        <v>1</v>
      </c>
      <c r="D30" s="46">
        <f t="shared" si="2"/>
        <v>1</v>
      </c>
      <c r="E30" s="46">
        <f t="shared" si="2"/>
        <v>1</v>
      </c>
      <c r="F30" s="46">
        <f t="shared" si="2"/>
        <v>1</v>
      </c>
      <c r="G30" s="46">
        <f t="shared" si="2"/>
        <v>1</v>
      </c>
      <c r="H30" s="26"/>
      <c r="I30" s="26"/>
      <c r="J30" s="21"/>
      <c r="K30" s="2"/>
      <c r="L30" s="59"/>
      <c r="M30" s="2"/>
      <c r="N30" s="2"/>
      <c r="O30" s="2"/>
      <c r="P30" s="2"/>
      <c r="Q30" s="2"/>
      <c r="R30" s="2"/>
      <c r="S30" s="2"/>
      <c r="T30" s="2"/>
      <c r="U30" s="2"/>
      <c r="V30" s="2"/>
      <c r="W30" s="48"/>
      <c r="X30" s="48"/>
      <c r="Y30" s="48"/>
      <c r="Z30" s="48"/>
    </row>
    <row r="31" spans="1:26" ht="12.75" customHeight="1" x14ac:dyDescent="0.3">
      <c r="A31" s="49"/>
      <c r="B31" s="26"/>
      <c r="C31" s="26"/>
      <c r="D31" s="26"/>
      <c r="E31" s="26"/>
      <c r="F31" s="26"/>
      <c r="G31" s="26"/>
      <c r="H31" s="26"/>
      <c r="I31" s="26"/>
      <c r="J31" s="2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3">
      <c r="A32" s="60" t="s">
        <v>51</v>
      </c>
      <c r="B32" s="60">
        <f>(SUMPRODUCT(B6:B14,$I6:$I14))+(SUMPRODUCT(B18:B29,$I18:$I29))</f>
        <v>0</v>
      </c>
      <c r="C32" s="60">
        <f>(SUMPRODUCT(C6:C14,$I6:$I14)*(1+$I32))+(SUMPRODUCT(C18:C29,$I18:$I29)*(1+$I32))</f>
        <v>504700</v>
      </c>
      <c r="D32" s="60">
        <f>(SUMPRODUCT(D6:D14,$I6:$I14)*(1+($I32*2))+(SUMPRODUCT(D18:D29,$I18:$I29)*(1+($I32*2))))</f>
        <v>731400</v>
      </c>
      <c r="E32" s="60">
        <f>(SUMPRODUCT(E6:E14,$I6:$I14)*(1+($I32*3))+(SUMPRODUCT(E18:E29,$I18:$I29)*(1+($I32*3))))</f>
        <v>970100.00000000012</v>
      </c>
      <c r="F32" s="60">
        <f>(SUMPRODUCT(F6:F14,$I6:$I14)*(1+($I32*4))+(SUMPRODUCT(F18:F29,$I18:$I29)*(1+($I32*4))))</f>
        <v>1220800</v>
      </c>
      <c r="G32" s="60">
        <f>(SUMPRODUCT(G6:G14,$I6:$I14)*(1+($I32*5))+(SUMPRODUCT(G18:G29,$I18:$I29)*(1+($I32*5))))</f>
        <v>1483500</v>
      </c>
      <c r="H32" s="42"/>
      <c r="I32" s="279">
        <v>0.03</v>
      </c>
      <c r="J32" s="61"/>
      <c r="K32" s="62" t="s">
        <v>52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">
      <c r="A33" s="49"/>
      <c r="B33" s="63"/>
      <c r="C33" s="63"/>
      <c r="D33" s="63"/>
      <c r="E33" s="63"/>
      <c r="F33" s="63"/>
      <c r="G33" s="63"/>
      <c r="H33" s="26"/>
      <c r="I33" s="26" t="s">
        <v>53</v>
      </c>
      <c r="J33" s="2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3">
      <c r="A34" s="49"/>
      <c r="B34" s="26"/>
      <c r="C34" s="26"/>
      <c r="D34" s="26"/>
      <c r="E34" s="26"/>
      <c r="F34" s="26"/>
      <c r="G34" s="26"/>
      <c r="H34" s="26"/>
      <c r="I34" s="26"/>
      <c r="J34" s="2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3">
      <c r="A35" s="45" t="s">
        <v>54</v>
      </c>
      <c r="B35" s="64">
        <f>B15</f>
        <v>0</v>
      </c>
      <c r="C35" s="64">
        <f>C15-C14</f>
        <v>10</v>
      </c>
      <c r="D35" s="64">
        <f>D15-D14</f>
        <v>15</v>
      </c>
      <c r="E35" s="64">
        <f>E15-E14</f>
        <v>20</v>
      </c>
      <c r="F35" s="64">
        <f>F15-F14</f>
        <v>25</v>
      </c>
      <c r="G35" s="64">
        <f>G15-G14</f>
        <v>30</v>
      </c>
      <c r="H35" s="26"/>
      <c r="I35" s="26"/>
      <c r="J35" s="2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3">
      <c r="A36" s="65" t="s">
        <v>55</v>
      </c>
      <c r="B36" s="66">
        <f t="shared" ref="B36:G36" si="3">B30</f>
        <v>0</v>
      </c>
      <c r="C36" s="66">
        <f t="shared" si="3"/>
        <v>1</v>
      </c>
      <c r="D36" s="66">
        <f t="shared" si="3"/>
        <v>1</v>
      </c>
      <c r="E36" s="66">
        <f t="shared" si="3"/>
        <v>1</v>
      </c>
      <c r="F36" s="66">
        <f t="shared" si="3"/>
        <v>1</v>
      </c>
      <c r="G36" s="66">
        <f t="shared" si="3"/>
        <v>1</v>
      </c>
      <c r="H36" s="26"/>
      <c r="I36" s="26"/>
      <c r="J36" s="2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">
      <c r="A37" s="67" t="s">
        <v>56</v>
      </c>
      <c r="B37" s="68">
        <f t="shared" ref="B37:G37" si="4">SUM(B35:B36)</f>
        <v>0</v>
      </c>
      <c r="C37" s="68">
        <f t="shared" si="4"/>
        <v>11</v>
      </c>
      <c r="D37" s="68">
        <f t="shared" si="4"/>
        <v>16</v>
      </c>
      <c r="E37" s="68">
        <f t="shared" si="4"/>
        <v>21</v>
      </c>
      <c r="F37" s="68">
        <f t="shared" si="4"/>
        <v>26</v>
      </c>
      <c r="G37" s="68">
        <f t="shared" si="4"/>
        <v>31</v>
      </c>
      <c r="H37" s="26"/>
      <c r="I37" s="26"/>
      <c r="J37" s="2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3">
      <c r="A38" s="41"/>
      <c r="B38" s="26"/>
      <c r="C38" s="26"/>
      <c r="D38" s="26"/>
      <c r="E38" s="26"/>
      <c r="F38" s="26"/>
      <c r="G38" s="26"/>
      <c r="H38" s="26"/>
      <c r="I38" s="26"/>
      <c r="J38" s="2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">
      <c r="A39" s="49" t="s">
        <v>57</v>
      </c>
      <c r="B39" s="69"/>
      <c r="C39" s="69" t="str">
        <f>(ROUND(C5/(C35),0)&amp;":1")</f>
        <v>0:1</v>
      </c>
      <c r="D39" s="69" t="str">
        <f>(ROUND(D5/(D35),0)&amp;":1")</f>
        <v>0:1</v>
      </c>
      <c r="E39" s="69" t="str">
        <f>(ROUND(E5/(E35),0)&amp;":1")</f>
        <v>0:1</v>
      </c>
      <c r="F39" s="69" t="str">
        <f>(ROUND(F5/(F35),0)&amp;":1")</f>
        <v>0:1</v>
      </c>
      <c r="G39" s="69" t="str">
        <f>(ROUND(G5/(G35),0)&amp;":1")</f>
        <v>0:1</v>
      </c>
      <c r="H39" s="26"/>
      <c r="I39" s="26"/>
      <c r="J39" s="2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3">
      <c r="A40" s="49" t="s">
        <v>58</v>
      </c>
      <c r="B40" s="69"/>
      <c r="C40" s="69" t="str">
        <f>(ROUND(C5/(C37),0)&amp;":1")</f>
        <v>0:1</v>
      </c>
      <c r="D40" s="69" t="str">
        <f>(ROUND(D5/(D37),0)&amp;":1")</f>
        <v>0:1</v>
      </c>
      <c r="E40" s="69" t="str">
        <f>(ROUND(E5/(E37),0)&amp;":1")</f>
        <v>0:1</v>
      </c>
      <c r="F40" s="69" t="str">
        <f>(ROUND(F5/(F37),0)&amp;":1")</f>
        <v>0:1</v>
      </c>
      <c r="G40" s="69" t="str">
        <f>(ROUND(G5/(G37),0)&amp;":1")</f>
        <v>0:1</v>
      </c>
      <c r="H40" s="26"/>
      <c r="I40" s="26"/>
      <c r="J40" s="2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8.25" customHeight="1" x14ac:dyDescent="0.3">
      <c r="A41" s="70"/>
      <c r="B41" s="29"/>
      <c r="C41" s="29"/>
      <c r="D41" s="29"/>
      <c r="E41" s="29"/>
      <c r="F41" s="29"/>
      <c r="G41" s="29"/>
      <c r="H41" s="29"/>
      <c r="I41" s="29"/>
      <c r="J41" s="30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hidden="1" customHeight="1" x14ac:dyDescent="0.3">
      <c r="A44" s="2" t="s">
        <v>59</v>
      </c>
      <c r="B44" s="71">
        <f>((B6*$I$6)+(B7*$I$7)+(B9*$I$9)+(B10*$I$10)+(B11*$I$11)+(B12*$I$12))</f>
        <v>0</v>
      </c>
      <c r="C44" s="71">
        <f>((C6*$I$6)+(C7*$I$7)+(C8*$I$8)+(C9*$I$9)+(C10*$I$10)+(C11*$I$11)+(C12*$I$12))*(1+$I$32)</f>
        <v>412000</v>
      </c>
      <c r="D44" s="71">
        <f>((D6*$I$6)+(D7*$I$7)+(D8*$I$8)+(D9*$I$9)+(D10*$I$10)+(D11*$I$11)+(D12*$I$12))*(1+($I32*2))</f>
        <v>636000</v>
      </c>
      <c r="E44" s="71">
        <f>((E6*$I$6)+(E7*$I$7)+(E8*$I$8)+(E9*$I$9)+(E10*$I$10)+(E11*$I$11)+(E12*$I$12))*(1+($I32*3))</f>
        <v>872000.00000000012</v>
      </c>
      <c r="F44" s="71">
        <f>((F6*$I$6)+(F7*$I$7)+(F8*$I$8)+(F9*$I$9)+(F10*$I$10)+(F11*$I$11)+(F12*$I$12))*(1+($I32*4))</f>
        <v>1120000</v>
      </c>
      <c r="G44" s="71">
        <f>((G6*$I$6)+(G7*$I$7)+(G8*$I$8)+(G9*$I$9)+(G10*$I$10)+(G11*$I$11)+(G12*$I$12))*(1+($I32*5))</f>
        <v>1380000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hidden="1" customHeight="1" x14ac:dyDescent="0.3">
      <c r="A45" s="2" t="s">
        <v>60</v>
      </c>
      <c r="B45" s="71">
        <f>((B18*$I$18)+(B19*$I$19)+(B20*$I$20)+(B21*$I$21)+(B22*$I$22)+(B23*$I$23)+(B24*$I$24))</f>
        <v>0</v>
      </c>
      <c r="C45" s="71">
        <f>((C18*$I$18)+(C19*$I$19)+(C20*$I$20)+(C21*$I$21)+(C22*$I$22)+(C23*$I$23)+(C24*$I$24))*(1+$I$32)</f>
        <v>92700</v>
      </c>
      <c r="D45" s="71">
        <f>((D18*$I$18)+(D19*$I$19)+(D20*$I$20)+(D21*$I$21)+(D22*$I$22)+(D23*$I$23)+(D24*$I$24))*(1+($I32*2))</f>
        <v>95400</v>
      </c>
      <c r="E45" s="71">
        <f>((E18*$I$18)+(E19*$I$19)+(E20*$I$20)+(E21*$I$21)+(E22*$I$22)+(E23*$I$23)+(E24*$I$24))*(1+($I32*3))</f>
        <v>98100</v>
      </c>
      <c r="F45" s="71">
        <f>((F18*$I$18)+(F19*$I$19)+(F20*$I$20)+(F21*$I$21)+(F22*$I$22)+(F23*$I$23)+(F24*$I$24))*(1+($I32*4))</f>
        <v>100800.00000000001</v>
      </c>
      <c r="G45" s="71">
        <f>((G18*$I$18)+(G19*$I$19)+(G20*$I$20)+(G21*$I$21)+(G22*$I$22)+(G23*$I$23)+(G24*$I$24))*(1+($I32*5))</f>
        <v>103499.99999999999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hidden="1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hidden="1" customHeight="1" x14ac:dyDescent="0.3">
      <c r="A47" s="2" t="s">
        <v>61</v>
      </c>
      <c r="B47" s="71">
        <f t="shared" ref="B47:G47" si="5">B32-SUM(B44:B45)</f>
        <v>0</v>
      </c>
      <c r="C47" s="71">
        <f t="shared" si="5"/>
        <v>0</v>
      </c>
      <c r="D47" s="71">
        <f t="shared" si="5"/>
        <v>0</v>
      </c>
      <c r="E47" s="71">
        <f t="shared" si="5"/>
        <v>0</v>
      </c>
      <c r="F47" s="71">
        <f t="shared" si="5"/>
        <v>0</v>
      </c>
      <c r="G47" s="71">
        <f t="shared" si="5"/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</sheetData>
  <mergeCells count="1">
    <mergeCell ref="I4:I5"/>
  </mergeCells>
  <phoneticPr fontId="46" type="noConversion"/>
  <printOptions horizontalCentered="1"/>
  <pageMargins left="0.40972222222222199" right="0.22986111111111099" top="0.37986111111111098" bottom="0.40972222222222199" header="0.51180555555555496" footer="0.51180555555555496"/>
  <pageSetup firstPageNumber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8"/>
  <sheetViews>
    <sheetView tabSelected="1" topLeftCell="A12" zoomScale="85" zoomScaleNormal="85" zoomScalePageLayoutView="110" workbookViewId="0">
      <selection activeCell="F15" sqref="F15"/>
    </sheetView>
  </sheetViews>
  <sheetFormatPr defaultColWidth="8.88671875" defaultRowHeight="13.2" outlineLevelCol="1" x14ac:dyDescent="0.25"/>
  <cols>
    <col min="1" max="1" width="40.109375" customWidth="1"/>
    <col min="2" max="7" width="14.109375" customWidth="1" outlineLevel="1"/>
    <col min="8" max="8" width="5.109375" customWidth="1" outlineLevel="1"/>
    <col min="9" max="9" width="17.44140625" customWidth="1" outlineLevel="1"/>
    <col min="10" max="10" width="23.6640625" customWidth="1" outlineLevel="1"/>
    <col min="11" max="11" width="35.33203125" customWidth="1" outlineLevel="1"/>
    <col min="12" max="12" width="64.33203125" customWidth="1"/>
    <col min="13" max="13" width="11.44140625" customWidth="1"/>
    <col min="14" max="26" width="8.6640625" customWidth="1"/>
    <col min="27" max="1025" width="14.44140625" customWidth="1"/>
  </cols>
  <sheetData>
    <row r="1" spans="1:26" ht="21" customHeight="1" x14ac:dyDescent="0.35">
      <c r="A1" s="31">
        <f>'Cover Page'!A17:H17</f>
        <v>0</v>
      </c>
      <c r="B1" s="2"/>
      <c r="C1" s="2"/>
      <c r="D1" s="2"/>
      <c r="E1" s="2"/>
      <c r="F1" s="2"/>
      <c r="G1" s="2"/>
      <c r="I1" s="2"/>
      <c r="J1" s="2"/>
      <c r="K1" s="2"/>
      <c r="L1" s="7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x14ac:dyDescent="0.35">
      <c r="A2" s="31" t="s">
        <v>62</v>
      </c>
      <c r="B2" s="2"/>
      <c r="C2" s="73" t="s">
        <v>26</v>
      </c>
      <c r="D2" s="2"/>
      <c r="E2" s="2"/>
      <c r="F2" s="2"/>
      <c r="G2" s="2"/>
      <c r="I2" s="2"/>
      <c r="J2" s="2"/>
      <c r="K2" s="2"/>
      <c r="L2" s="7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3">
      <c r="A3" s="2"/>
      <c r="B3" s="2"/>
      <c r="C3" s="73"/>
      <c r="D3" s="2"/>
      <c r="E3" s="2"/>
      <c r="F3" s="2"/>
      <c r="G3" s="2"/>
      <c r="I3" s="2"/>
      <c r="J3" s="2"/>
      <c r="K3" s="2"/>
      <c r="L3" s="7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3">
      <c r="A4" s="1" t="s">
        <v>63</v>
      </c>
      <c r="B4" s="34" t="str">
        <f>'Page 10-6 yr Budget-detail'!B4</f>
        <v>YEAR 0</v>
      </c>
      <c r="C4" s="34" t="str">
        <f>'Page 10-6 yr Budget-detail'!C4</f>
        <v>YEAR 1</v>
      </c>
      <c r="D4" s="34" t="str">
        <f>'Page 10-6 yr Budget-detail'!D4</f>
        <v>YEAR 2</v>
      </c>
      <c r="E4" s="34" t="str">
        <f>'Page 10-6 yr Budget-detail'!E4</f>
        <v>YEAR 3</v>
      </c>
      <c r="F4" s="34" t="str">
        <f>'Page 10-6 yr Budget-detail'!F4</f>
        <v>YEAR 4</v>
      </c>
      <c r="G4" s="34" t="str">
        <f>'Page 10-6 yr Budget-detail'!G4</f>
        <v>YEAR 5</v>
      </c>
      <c r="I4" s="324" t="s">
        <v>64</v>
      </c>
      <c r="J4" s="324"/>
      <c r="K4" s="74" t="s">
        <v>65</v>
      </c>
      <c r="L4" s="75" t="s">
        <v>66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3">
      <c r="A5" s="76" t="s">
        <v>67</v>
      </c>
      <c r="B5" s="77">
        <v>0</v>
      </c>
      <c r="C5" s="77">
        <f>$I$5</f>
        <v>0</v>
      </c>
      <c r="D5" s="77">
        <f>C5*1.015</f>
        <v>0</v>
      </c>
      <c r="E5" s="77">
        <f>D5*1.015</f>
        <v>0</v>
      </c>
      <c r="F5" s="77">
        <f>E5*1.015</f>
        <v>0</v>
      </c>
      <c r="G5" s="77">
        <f>F5*1.015</f>
        <v>0</v>
      </c>
      <c r="I5" s="274"/>
      <c r="J5" s="78" t="s">
        <v>68</v>
      </c>
      <c r="K5" s="79" t="s">
        <v>68</v>
      </c>
      <c r="L5" s="80" t="s">
        <v>69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3" customHeight="1" x14ac:dyDescent="0.3">
      <c r="A6" s="81" t="s">
        <v>70</v>
      </c>
      <c r="B6" s="77">
        <v>0</v>
      </c>
      <c r="C6" s="77">
        <f>C5*C7*0.5</f>
        <v>0</v>
      </c>
      <c r="D6" s="77">
        <f>D5*D7*0.5</f>
        <v>0</v>
      </c>
      <c r="E6" s="77">
        <f>E5*E7*0.5</f>
        <v>0</v>
      </c>
      <c r="F6" s="77">
        <f>F5*F7*0.5</f>
        <v>0</v>
      </c>
      <c r="G6" s="77">
        <f>G5*G7*0.5</f>
        <v>0</v>
      </c>
      <c r="I6" s="82" t="s">
        <v>71</v>
      </c>
      <c r="J6" s="78" t="s">
        <v>72</v>
      </c>
      <c r="K6" s="79" t="s">
        <v>73</v>
      </c>
      <c r="L6" s="80" t="s">
        <v>74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 customHeight="1" x14ac:dyDescent="0.3">
      <c r="A7" s="83" t="s">
        <v>75</v>
      </c>
      <c r="B7" s="84"/>
      <c r="C7" s="84">
        <v>0</v>
      </c>
      <c r="D7" s="275">
        <v>0</v>
      </c>
      <c r="E7" s="275">
        <v>0</v>
      </c>
      <c r="F7" s="275">
        <v>0</v>
      </c>
      <c r="G7" s="275">
        <v>0</v>
      </c>
      <c r="H7" s="85"/>
      <c r="I7" s="86"/>
      <c r="J7" s="87"/>
      <c r="K7" s="79" t="s">
        <v>76</v>
      </c>
      <c r="L7" s="80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</row>
    <row r="8" spans="1:26" ht="12.75" customHeight="1" x14ac:dyDescent="0.3">
      <c r="A8" s="76" t="s">
        <v>77</v>
      </c>
      <c r="B8" s="77">
        <v>0</v>
      </c>
      <c r="C8" s="88">
        <f>I8</f>
        <v>250</v>
      </c>
      <c r="D8" s="88">
        <f>C8*0.99</f>
        <v>247.5</v>
      </c>
      <c r="E8" s="88">
        <f>D8*0.99</f>
        <v>245.02500000000001</v>
      </c>
      <c r="F8" s="88">
        <f>E8*0.99</f>
        <v>242.57474999999999</v>
      </c>
      <c r="G8" s="88">
        <f>F8*0.99</f>
        <v>240.14900249999999</v>
      </c>
      <c r="I8" s="89">
        <v>250</v>
      </c>
      <c r="J8" s="78" t="s">
        <v>68</v>
      </c>
      <c r="K8" s="79" t="s">
        <v>73</v>
      </c>
      <c r="L8" s="80" t="s">
        <v>78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3" customHeight="1" x14ac:dyDescent="0.3">
      <c r="A9" s="76" t="s">
        <v>79</v>
      </c>
      <c r="B9" s="77">
        <v>0</v>
      </c>
      <c r="C9" s="77">
        <f>C10*$I$9</f>
        <v>0</v>
      </c>
      <c r="D9" s="77">
        <f>C10*0.98*$I$9</f>
        <v>0</v>
      </c>
      <c r="E9" s="77">
        <f>D10*0.96*$I$9</f>
        <v>0</v>
      </c>
      <c r="F9" s="77">
        <f>E10*0.94*$I$9</f>
        <v>0</v>
      </c>
      <c r="G9" s="77">
        <f>F10*0.92*$I$9</f>
        <v>0</v>
      </c>
      <c r="I9" s="90">
        <v>1279</v>
      </c>
      <c r="J9" s="78" t="s">
        <v>80</v>
      </c>
      <c r="K9" s="79" t="s">
        <v>73</v>
      </c>
      <c r="L9" s="80" t="s">
        <v>81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3" customHeight="1" x14ac:dyDescent="0.3">
      <c r="A10" s="91" t="s">
        <v>82</v>
      </c>
      <c r="B10" s="92"/>
      <c r="C10" s="276">
        <f>0.06*'Page 1-Enrollment Plan'!B22</f>
        <v>0</v>
      </c>
      <c r="D10" s="276">
        <f>0.06*'Page 1-Enrollment Plan'!C22</f>
        <v>0</v>
      </c>
      <c r="E10" s="276">
        <f>0.06*'Page 1-Enrollment Plan'!D22</f>
        <v>0</v>
      </c>
      <c r="F10" s="276">
        <f>0.06*'Page 1-Enrollment Plan'!E22</f>
        <v>0</v>
      </c>
      <c r="G10" s="276">
        <f>0.06*'Page 1-Enrollment Plan'!F22</f>
        <v>0</v>
      </c>
      <c r="I10" s="90"/>
      <c r="J10" s="78"/>
      <c r="K10" s="79" t="s">
        <v>83</v>
      </c>
      <c r="L10" s="9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76" t="s">
        <v>84</v>
      </c>
      <c r="B11" s="77">
        <v>0</v>
      </c>
      <c r="C11" s="77">
        <v>0</v>
      </c>
      <c r="D11" s="77">
        <f>C13*$I$11*0.98</f>
        <v>0</v>
      </c>
      <c r="E11" s="77">
        <f>D13*$I$11*0.96</f>
        <v>0</v>
      </c>
      <c r="F11" s="77">
        <f>E13*$I$11*0.94</f>
        <v>0</v>
      </c>
      <c r="G11" s="77">
        <f>F13*$I$11*0.92</f>
        <v>0</v>
      </c>
      <c r="I11" s="94">
        <v>125</v>
      </c>
      <c r="J11" s="78" t="s">
        <v>85</v>
      </c>
      <c r="K11" s="79" t="s">
        <v>73</v>
      </c>
      <c r="L11" s="80" t="s">
        <v>86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3" customHeight="1" x14ac:dyDescent="0.3">
      <c r="A12" s="83" t="s">
        <v>87</v>
      </c>
      <c r="B12" s="95"/>
      <c r="C12" s="277">
        <v>0</v>
      </c>
      <c r="D12" s="278">
        <v>0</v>
      </c>
      <c r="E12" s="278">
        <v>0</v>
      </c>
      <c r="F12" s="278">
        <v>0</v>
      </c>
      <c r="G12" s="278">
        <v>0</v>
      </c>
      <c r="I12" s="89"/>
      <c r="J12" s="78"/>
      <c r="K12" s="79" t="s">
        <v>88</v>
      </c>
      <c r="L12" s="9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3" customHeight="1" x14ac:dyDescent="0.3">
      <c r="A13" s="83" t="s">
        <v>89</v>
      </c>
      <c r="B13" s="95"/>
      <c r="C13" s="84">
        <f>SUM('Page 1-Enrollment Plan'!B7:B19)*'Page 3-Assumptions'!C12</f>
        <v>0</v>
      </c>
      <c r="D13" s="84">
        <f>SUM('Page 1-Enrollment Plan'!C7:C19)*'Page 3-Assumptions'!D12</f>
        <v>0</v>
      </c>
      <c r="E13" s="84">
        <f>SUM('Page 1-Enrollment Plan'!D7:D19)*'Page 3-Assumptions'!E12</f>
        <v>0</v>
      </c>
      <c r="F13" s="84">
        <f>SUM('Page 1-Enrollment Plan'!E7:E19)*'Page 3-Assumptions'!F12</f>
        <v>0</v>
      </c>
      <c r="G13" s="84">
        <f>SUM('Page 1-Enrollment Plan'!F7:F19)*'Page 3-Assumptions'!G12</f>
        <v>0</v>
      </c>
      <c r="I13" s="89"/>
      <c r="J13" s="78"/>
      <c r="K13" s="79" t="s">
        <v>73</v>
      </c>
      <c r="L13" s="93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2" customHeight="1" x14ac:dyDescent="0.3">
      <c r="A14" s="76" t="s">
        <v>90</v>
      </c>
      <c r="B14" s="77">
        <v>0</v>
      </c>
      <c r="C14" s="77">
        <f>500</f>
        <v>500</v>
      </c>
      <c r="D14" s="77">
        <f>500+$I$14*D15*0.98</f>
        <v>500</v>
      </c>
      <c r="E14" s="77">
        <f>500+$I$14*E15*0.96</f>
        <v>500</v>
      </c>
      <c r="F14" s="77">
        <f>500+$I$14*F15*0.94</f>
        <v>500</v>
      </c>
      <c r="G14" s="77">
        <f>500+$I$14*G15*0.92</f>
        <v>500</v>
      </c>
      <c r="I14" s="94">
        <v>150</v>
      </c>
      <c r="J14" s="78" t="s">
        <v>91</v>
      </c>
      <c r="K14" s="79" t="s">
        <v>73</v>
      </c>
      <c r="L14" s="80" t="s">
        <v>92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3" customHeight="1" x14ac:dyDescent="0.3">
      <c r="A15" s="83" t="s">
        <v>93</v>
      </c>
      <c r="B15" s="96"/>
      <c r="C15" s="276">
        <f>0.05*'Page 1-Enrollment Plan'!B22</f>
        <v>0</v>
      </c>
      <c r="D15" s="276">
        <f>0.05*'Page 1-Enrollment Plan'!C22</f>
        <v>0</v>
      </c>
      <c r="E15" s="276">
        <f>0.05*'Page 1-Enrollment Plan'!D22</f>
        <v>0</v>
      </c>
      <c r="F15" s="276">
        <f>0.05*'Page 1-Enrollment Plan'!E22</f>
        <v>0</v>
      </c>
      <c r="G15" s="276">
        <f>0.05*'Page 1-Enrollment Plan'!F22</f>
        <v>0</v>
      </c>
      <c r="I15" s="94"/>
      <c r="J15" s="78"/>
      <c r="K15" s="79" t="s">
        <v>93</v>
      </c>
      <c r="L15" s="8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3" customHeight="1" x14ac:dyDescent="0.3">
      <c r="A16" s="76" t="s">
        <v>94</v>
      </c>
      <c r="B16" s="77">
        <v>0</v>
      </c>
      <c r="C16" s="88">
        <v>0</v>
      </c>
      <c r="D16" s="88">
        <f>C17*$I$16</f>
        <v>0</v>
      </c>
      <c r="E16" s="88">
        <f>D17*$I$16</f>
        <v>0</v>
      </c>
      <c r="F16" s="88">
        <f>E17*$I$16</f>
        <v>0</v>
      </c>
      <c r="G16" s="88">
        <f>F17*$I$16</f>
        <v>0</v>
      </c>
      <c r="I16" s="94">
        <v>820.31</v>
      </c>
      <c r="J16" s="78" t="s">
        <v>95</v>
      </c>
      <c r="K16" s="79" t="s">
        <v>73</v>
      </c>
      <c r="L16" s="80" t="s">
        <v>96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3" customHeight="1" x14ac:dyDescent="0.3">
      <c r="A17" s="83" t="s">
        <v>97</v>
      </c>
      <c r="B17" s="96"/>
      <c r="C17" s="276">
        <f>0.157*'Page 1-Enrollment Plan'!B22</f>
        <v>0</v>
      </c>
      <c r="D17" s="276">
        <f>0.157*'Page 1-Enrollment Plan'!C22</f>
        <v>0</v>
      </c>
      <c r="E17" s="276">
        <f>0.157*'Page 1-Enrollment Plan'!D22</f>
        <v>0</v>
      </c>
      <c r="F17" s="276">
        <f>0.157*'Page 1-Enrollment Plan'!E22</f>
        <v>0</v>
      </c>
      <c r="G17" s="276">
        <f>0.157*'Page 1-Enrollment Plan'!F22</f>
        <v>0</v>
      </c>
      <c r="I17" s="94"/>
      <c r="J17" s="78"/>
      <c r="K17" s="79" t="s">
        <v>98</v>
      </c>
      <c r="L17" s="80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3" customHeight="1" x14ac:dyDescent="0.3">
      <c r="A18" s="76" t="s">
        <v>311</v>
      </c>
      <c r="B18" s="77">
        <v>0</v>
      </c>
      <c r="C18" s="77">
        <f>$I$18*'Page 1-Enrollment Plan'!B22</f>
        <v>0</v>
      </c>
      <c r="D18" s="77">
        <f>$I$18*'Page 1-Enrollment Plan'!C22</f>
        <v>0</v>
      </c>
      <c r="E18" s="77">
        <f>$I$18*'Page 1-Enrollment Plan'!D22</f>
        <v>0</v>
      </c>
      <c r="F18" s="77">
        <f>$I$18*'Page 1-Enrollment Plan'!E22</f>
        <v>0</v>
      </c>
      <c r="G18" s="77">
        <f>$I$18*'Page 1-Enrollment Plan'!F22</f>
        <v>0</v>
      </c>
      <c r="I18" s="94">
        <v>311.47000000000003</v>
      </c>
      <c r="J18" s="312" t="s">
        <v>68</v>
      </c>
      <c r="K18" s="313" t="s">
        <v>73</v>
      </c>
      <c r="L18" s="314" t="s">
        <v>312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3" customHeight="1" x14ac:dyDescent="0.3">
      <c r="A19" s="76" t="s">
        <v>99</v>
      </c>
      <c r="B19" s="77">
        <v>0</v>
      </c>
      <c r="C19" s="77">
        <f>IF(C23&gt;0.3499,C24*$I$19,0)</f>
        <v>0</v>
      </c>
      <c r="D19" s="77">
        <f t="shared" ref="D19:G19" si="0">IF(D23&gt;0.3499,D24*$I$19,0)</f>
        <v>0</v>
      </c>
      <c r="E19" s="77">
        <f t="shared" si="0"/>
        <v>0</v>
      </c>
      <c r="F19" s="77">
        <f t="shared" si="0"/>
        <v>0</v>
      </c>
      <c r="G19" s="77">
        <f t="shared" si="0"/>
        <v>0</v>
      </c>
      <c r="I19" s="97">
        <v>259.2</v>
      </c>
      <c r="J19" s="78" t="s">
        <v>100</v>
      </c>
      <c r="K19" s="79" t="s">
        <v>73</v>
      </c>
      <c r="L19" s="93" t="s">
        <v>302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3" customHeight="1" x14ac:dyDescent="0.3">
      <c r="A20" s="76" t="s">
        <v>101</v>
      </c>
      <c r="B20" s="77">
        <v>0</v>
      </c>
      <c r="C20" s="77">
        <f>C10*$I$20</f>
        <v>0</v>
      </c>
      <c r="D20" s="77">
        <f>C10*$I$20</f>
        <v>0</v>
      </c>
      <c r="E20" s="77">
        <f>D10*$I$20</f>
        <v>0</v>
      </c>
      <c r="F20" s="77">
        <f>E10*$I$20</f>
        <v>0</v>
      </c>
      <c r="G20" s="77">
        <f>F10*$I$20</f>
        <v>0</v>
      </c>
      <c r="I20" s="90">
        <v>1671</v>
      </c>
      <c r="J20" s="78" t="s">
        <v>102</v>
      </c>
      <c r="K20" s="79" t="s">
        <v>73</v>
      </c>
      <c r="L20" s="9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57" customHeight="1" x14ac:dyDescent="0.3">
      <c r="A21" s="76" t="s">
        <v>103</v>
      </c>
      <c r="B21" s="77">
        <v>0</v>
      </c>
      <c r="C21" s="77">
        <v>0</v>
      </c>
      <c r="D21" s="77">
        <f>C13*$I$21*0.98</f>
        <v>0</v>
      </c>
      <c r="E21" s="77">
        <f>D13*$I$21*0.96</f>
        <v>0</v>
      </c>
      <c r="F21" s="77">
        <f>E13*$I$21*0.94</f>
        <v>0</v>
      </c>
      <c r="G21" s="77">
        <f>F13*$I$21*0.92</f>
        <v>0</v>
      </c>
      <c r="I21" s="94">
        <v>50</v>
      </c>
      <c r="J21" s="78" t="s">
        <v>85</v>
      </c>
      <c r="K21" s="79" t="s">
        <v>73</v>
      </c>
      <c r="L21" s="80" t="s">
        <v>104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 customHeight="1" x14ac:dyDescent="0.3">
      <c r="A22" s="76" t="s">
        <v>299</v>
      </c>
      <c r="B22" s="77">
        <v>0</v>
      </c>
      <c r="C22" s="77">
        <f>MAX(1500,$I$22*C24)</f>
        <v>1500</v>
      </c>
      <c r="D22" s="77">
        <f t="shared" ref="D22:G22" si="1">MAX(1500,$I$22*D24)</f>
        <v>1500</v>
      </c>
      <c r="E22" s="77">
        <f t="shared" si="1"/>
        <v>1500</v>
      </c>
      <c r="F22" s="77">
        <f t="shared" si="1"/>
        <v>1500</v>
      </c>
      <c r="G22" s="77">
        <f t="shared" si="1"/>
        <v>1500</v>
      </c>
      <c r="I22" s="94">
        <v>62.11</v>
      </c>
      <c r="J22" s="78" t="s">
        <v>300</v>
      </c>
      <c r="K22" s="79" t="s">
        <v>73</v>
      </c>
      <c r="L22" s="80" t="s">
        <v>301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3" customHeight="1" x14ac:dyDescent="0.3">
      <c r="A23" s="76" t="s">
        <v>105</v>
      </c>
      <c r="B23" s="98" t="s">
        <v>106</v>
      </c>
      <c r="C23" s="277">
        <v>0</v>
      </c>
      <c r="D23" s="278">
        <v>0</v>
      </c>
      <c r="E23" s="278">
        <v>0</v>
      </c>
      <c r="F23" s="278">
        <v>0</v>
      </c>
      <c r="G23" s="278">
        <v>0</v>
      </c>
      <c r="I23" s="94"/>
      <c r="J23" s="78"/>
      <c r="K23" s="79" t="s">
        <v>107</v>
      </c>
      <c r="L23" s="9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3" customHeight="1" x14ac:dyDescent="0.3">
      <c r="A24" s="76" t="s">
        <v>108</v>
      </c>
      <c r="B24" s="99" t="s">
        <v>106</v>
      </c>
      <c r="C24" s="99">
        <f>C23*SUM('Page 1-Enrollment Plan'!B7:B19)</f>
        <v>0</v>
      </c>
      <c r="D24" s="99">
        <f>D23*SUM('Page 1-Enrollment Plan'!C7:C19)</f>
        <v>0</v>
      </c>
      <c r="E24" s="99">
        <f>E23*SUM('Page 1-Enrollment Plan'!D7:D19)</f>
        <v>0</v>
      </c>
      <c r="F24" s="99">
        <f>F23*SUM('Page 1-Enrollment Plan'!E7:E19)</f>
        <v>0</v>
      </c>
      <c r="G24" s="99">
        <f>G23*SUM('Page 1-Enrollment Plan'!F7:F19)</f>
        <v>0</v>
      </c>
      <c r="I24" s="94"/>
      <c r="J24" s="78"/>
      <c r="K24" s="79" t="s">
        <v>73</v>
      </c>
      <c r="L24" s="93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3" customHeight="1" x14ac:dyDescent="0.3">
      <c r="A25" s="76" t="s">
        <v>109</v>
      </c>
      <c r="B25" s="98" t="s">
        <v>106</v>
      </c>
      <c r="C25" s="306">
        <v>0</v>
      </c>
      <c r="D25" s="306">
        <v>0</v>
      </c>
      <c r="E25" s="306">
        <v>0</v>
      </c>
      <c r="F25" s="306">
        <v>0</v>
      </c>
      <c r="G25" s="306">
        <v>0</v>
      </c>
      <c r="I25" s="82"/>
      <c r="J25" s="78" t="s">
        <v>110</v>
      </c>
      <c r="K25" s="79"/>
      <c r="L25" s="93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3" customHeight="1" x14ac:dyDescent="0.3">
      <c r="A26" s="76" t="s">
        <v>111</v>
      </c>
      <c r="B26" s="98" t="s">
        <v>106</v>
      </c>
      <c r="C26" s="306">
        <f>'Page 1-Enrollment Plan'!B7*$I$26*0.8</f>
        <v>0</v>
      </c>
      <c r="D26" s="306">
        <f>'Page 1-Enrollment Plan'!C7*$I$26*0.8</f>
        <v>0</v>
      </c>
      <c r="E26" s="306">
        <f>'Page 1-Enrollment Plan'!D7*$I$26*0.8</f>
        <v>0</v>
      </c>
      <c r="F26" s="306">
        <f>'Page 1-Enrollment Plan'!E7*$I$26*0.8</f>
        <v>0</v>
      </c>
      <c r="G26" s="306">
        <f>'Page 1-Enrollment Plan'!F7*$I$26*0.8</f>
        <v>0</v>
      </c>
      <c r="I26" s="82">
        <v>2500</v>
      </c>
      <c r="J26" s="78" t="s">
        <v>110</v>
      </c>
      <c r="K26" s="79"/>
      <c r="L26" s="93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85"/>
      <c r="B27" s="100"/>
      <c r="C27" s="101"/>
      <c r="D27" s="101"/>
      <c r="E27" s="101"/>
      <c r="F27" s="101"/>
      <c r="G27" s="101"/>
      <c r="I27" s="2"/>
      <c r="J27" s="2"/>
      <c r="K27" s="2"/>
      <c r="L27" s="7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3">
      <c r="A28" s="2"/>
      <c r="B28" s="2"/>
      <c r="C28" s="2"/>
      <c r="D28" s="2"/>
      <c r="E28" s="2"/>
      <c r="F28" s="2"/>
      <c r="G28" s="2"/>
      <c r="I28" s="2"/>
      <c r="J28" s="2"/>
      <c r="K28" s="2"/>
      <c r="L28" s="7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3">
      <c r="A29" s="1" t="s">
        <v>112</v>
      </c>
      <c r="B29" s="2"/>
      <c r="C29" s="2"/>
      <c r="D29" s="2"/>
      <c r="E29" s="2"/>
      <c r="F29" s="2"/>
      <c r="G29" s="2"/>
      <c r="I29" s="2"/>
      <c r="J29" s="2"/>
      <c r="K29" s="2"/>
      <c r="L29" s="7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 customHeight="1" x14ac:dyDescent="0.3">
      <c r="A30" s="102" t="s">
        <v>113</v>
      </c>
      <c r="B30" s="103"/>
      <c r="C30" s="103">
        <v>0.03</v>
      </c>
      <c r="D30" s="103">
        <v>0.03</v>
      </c>
      <c r="E30" s="103">
        <v>0.03</v>
      </c>
      <c r="F30" s="103">
        <v>0.03</v>
      </c>
      <c r="G30" s="103">
        <v>0.03</v>
      </c>
      <c r="I30" s="2"/>
      <c r="J30" s="2"/>
      <c r="K30" s="2"/>
      <c r="L30" s="7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customHeight="1" x14ac:dyDescent="0.3">
      <c r="A31" s="102" t="s">
        <v>114</v>
      </c>
      <c r="B31" s="103"/>
      <c r="C31" s="103">
        <v>0.01</v>
      </c>
      <c r="D31" s="103">
        <v>0.01</v>
      </c>
      <c r="E31" s="103">
        <v>0.01</v>
      </c>
      <c r="F31" s="103">
        <v>0.01</v>
      </c>
      <c r="G31" s="103">
        <v>0.01</v>
      </c>
      <c r="I31" s="2"/>
      <c r="J31" s="2"/>
      <c r="K31" s="2"/>
      <c r="L31" s="7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5.5" customHeight="1" x14ac:dyDescent="0.3">
      <c r="A32" s="79" t="s">
        <v>115</v>
      </c>
      <c r="B32" s="103">
        <v>0</v>
      </c>
      <c r="C32" s="104">
        <v>0.20399999999999999</v>
      </c>
      <c r="D32" s="104">
        <f>C32+0.25%</f>
        <v>0.20649999999999999</v>
      </c>
      <c r="E32" s="104">
        <f>D32+0.25%</f>
        <v>0.20899999999999999</v>
      </c>
      <c r="F32" s="104">
        <f>E32+0.25%</f>
        <v>0.21149999999999999</v>
      </c>
      <c r="G32" s="104">
        <f>F32+0.25%</f>
        <v>0.214</v>
      </c>
      <c r="I32" s="2" t="s">
        <v>116</v>
      </c>
      <c r="J32" s="2"/>
      <c r="K32" s="2"/>
      <c r="L32" s="7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customHeight="1" x14ac:dyDescent="0.3">
      <c r="A33" s="79" t="s">
        <v>117</v>
      </c>
      <c r="B33" s="103">
        <v>6.2E-2</v>
      </c>
      <c r="C33" s="103" t="s">
        <v>106</v>
      </c>
      <c r="D33" s="103" t="s">
        <v>106</v>
      </c>
      <c r="E33" s="103" t="s">
        <v>106</v>
      </c>
      <c r="F33" s="103" t="s">
        <v>106</v>
      </c>
      <c r="G33" s="103" t="s">
        <v>106</v>
      </c>
      <c r="I33" s="2"/>
      <c r="J33" s="2"/>
      <c r="K33" s="2"/>
      <c r="L33" s="7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5.5" customHeight="1" x14ac:dyDescent="0.3">
      <c r="A34" s="79" t="s">
        <v>118</v>
      </c>
      <c r="B34" s="103">
        <v>1.4500000000000001E-2</v>
      </c>
      <c r="C34" s="103">
        <v>1.4500000000000001E-2</v>
      </c>
      <c r="D34" s="103">
        <v>1.4500000000000001E-2</v>
      </c>
      <c r="E34" s="103">
        <v>1.4500000000000001E-2</v>
      </c>
      <c r="F34" s="103">
        <v>1.4500000000000001E-2</v>
      </c>
      <c r="G34" s="103">
        <v>1.4500000000000001E-2</v>
      </c>
      <c r="I34" s="105"/>
      <c r="J34" s="2"/>
      <c r="K34" s="2"/>
      <c r="L34" s="7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5.5" customHeight="1" x14ac:dyDescent="0.3">
      <c r="A35" s="79" t="s">
        <v>119</v>
      </c>
      <c r="B35" s="103">
        <v>3.0000000000000001E-3</v>
      </c>
      <c r="C35" s="103">
        <v>3.0000000000000001E-3</v>
      </c>
      <c r="D35" s="103">
        <v>3.0000000000000001E-3</v>
      </c>
      <c r="E35" s="103">
        <v>3.0000000000000001E-3</v>
      </c>
      <c r="F35" s="103">
        <v>3.0000000000000001E-3</v>
      </c>
      <c r="G35" s="103">
        <v>3.0000000000000001E-3</v>
      </c>
      <c r="I35" s="2"/>
      <c r="J35" s="2"/>
      <c r="K35" s="2"/>
      <c r="L35" s="2" t="s">
        <v>120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5.5" customHeight="1" x14ac:dyDescent="0.3">
      <c r="A36" s="79" t="s">
        <v>121</v>
      </c>
      <c r="B36" s="106">
        <v>0</v>
      </c>
      <c r="C36" s="106">
        <f>128*'Page 1-Enrollment Plan'!B20</f>
        <v>0</v>
      </c>
      <c r="D36" s="106">
        <f>128*'Page 1-Enrollment Plan'!C20</f>
        <v>0</v>
      </c>
      <c r="E36" s="106">
        <f>128*'Page 1-Enrollment Plan'!D20</f>
        <v>0</v>
      </c>
      <c r="F36" s="106">
        <f>128*'Page 1-Enrollment Plan'!E20</f>
        <v>0</v>
      </c>
      <c r="G36" s="106">
        <f>128*'Page 1-Enrollment Plan'!F20</f>
        <v>0</v>
      </c>
      <c r="I36" s="2"/>
      <c r="J36" s="2"/>
      <c r="K36" s="2" t="s">
        <v>122</v>
      </c>
      <c r="L36" s="2" t="s">
        <v>123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3.25" customHeight="1" x14ac:dyDescent="0.3">
      <c r="A37" s="2"/>
      <c r="B37" s="2"/>
      <c r="C37" s="2"/>
      <c r="D37" s="2"/>
      <c r="E37" s="2"/>
      <c r="F37" s="2"/>
      <c r="G37" s="2"/>
      <c r="I37" s="2"/>
      <c r="J37" s="2"/>
      <c r="K37" s="2"/>
      <c r="L37" s="2" t="s">
        <v>124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3">
      <c r="A38" s="2"/>
      <c r="B38" s="2"/>
      <c r="C38" s="2"/>
      <c r="D38" s="2"/>
      <c r="E38" s="2"/>
      <c r="F38" s="2"/>
      <c r="G38" s="2"/>
      <c r="I38" s="2"/>
      <c r="J38" s="2"/>
      <c r="K38" s="2"/>
      <c r="L38" s="7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">
      <c r="A39" s="107" t="s">
        <v>125</v>
      </c>
      <c r="B39" s="108" t="s">
        <v>126</v>
      </c>
      <c r="C39" s="109" t="s">
        <v>127</v>
      </c>
      <c r="D39" s="2"/>
      <c r="E39" s="2"/>
      <c r="F39" s="2"/>
      <c r="G39" s="2"/>
      <c r="I39" s="2"/>
      <c r="J39" s="2"/>
      <c r="K39" s="2"/>
      <c r="L39" s="7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3">
      <c r="A40" s="2" t="s">
        <v>128</v>
      </c>
      <c r="B40" s="273"/>
      <c r="C40" s="2" t="s">
        <v>129</v>
      </c>
      <c r="D40" s="2"/>
      <c r="E40" s="2"/>
      <c r="F40" s="2"/>
      <c r="G40" s="2"/>
      <c r="I40" s="2"/>
      <c r="J40" s="2"/>
      <c r="K40" s="2"/>
      <c r="L40" s="7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3">
      <c r="A41" s="2" t="s">
        <v>130</v>
      </c>
      <c r="B41" s="273"/>
      <c r="C41" s="2" t="s">
        <v>131</v>
      </c>
      <c r="D41" s="2"/>
      <c r="E41" s="2"/>
      <c r="F41" s="2"/>
      <c r="G41" s="2"/>
      <c r="I41" s="2"/>
      <c r="J41" s="2"/>
      <c r="K41" s="2"/>
      <c r="L41" s="7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">
      <c r="A42" s="2" t="s">
        <v>132</v>
      </c>
      <c r="B42" s="273"/>
      <c r="C42" s="2" t="s">
        <v>133</v>
      </c>
      <c r="D42" s="2" t="s">
        <v>134</v>
      </c>
      <c r="E42" s="2"/>
      <c r="F42" s="2"/>
      <c r="G42" s="2"/>
      <c r="I42" s="2"/>
      <c r="J42" s="2"/>
      <c r="K42" s="2"/>
      <c r="L42" s="7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3">
      <c r="A43" s="2" t="s">
        <v>135</v>
      </c>
      <c r="B43" s="273"/>
      <c r="C43" s="2" t="s">
        <v>133</v>
      </c>
      <c r="D43" s="2"/>
      <c r="E43" s="2"/>
      <c r="F43" s="2"/>
      <c r="G43" s="2"/>
      <c r="I43" s="2"/>
      <c r="J43" s="2"/>
      <c r="K43" s="2"/>
      <c r="L43" s="7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3">
      <c r="A44" s="2" t="s">
        <v>136</v>
      </c>
      <c r="B44" s="273"/>
      <c r="C44" s="2" t="s">
        <v>133</v>
      </c>
      <c r="D44" s="2"/>
      <c r="E44" s="2"/>
      <c r="F44" s="2"/>
      <c r="G44" s="2"/>
      <c r="I44" s="2"/>
      <c r="J44" s="2"/>
      <c r="K44" s="2"/>
      <c r="L44" s="7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3">
      <c r="A45" s="2" t="s">
        <v>137</v>
      </c>
      <c r="B45" s="273"/>
      <c r="C45" s="2" t="s">
        <v>133</v>
      </c>
      <c r="D45" s="2"/>
      <c r="E45" s="2"/>
      <c r="F45" s="2"/>
      <c r="G45" s="2"/>
      <c r="I45" s="2"/>
      <c r="J45" s="2"/>
      <c r="K45" s="2"/>
      <c r="L45" s="7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3">
      <c r="A46" s="2" t="s">
        <v>138</v>
      </c>
      <c r="B46" s="273"/>
      <c r="C46" s="2" t="s">
        <v>139</v>
      </c>
      <c r="D46" s="2"/>
      <c r="E46" s="2"/>
      <c r="F46" s="2"/>
      <c r="G46" s="2"/>
      <c r="I46" s="2"/>
      <c r="J46" s="2"/>
      <c r="K46" s="2"/>
      <c r="L46" s="7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3">
      <c r="A47" s="2" t="s">
        <v>140</v>
      </c>
      <c r="B47" s="273"/>
      <c r="C47" s="2" t="s">
        <v>141</v>
      </c>
      <c r="D47" s="2"/>
      <c r="E47" s="2"/>
      <c r="F47" s="2"/>
      <c r="G47" s="2"/>
      <c r="I47" s="2"/>
      <c r="J47" s="2"/>
      <c r="K47" s="2"/>
      <c r="L47" s="7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3">
      <c r="A48" s="2" t="s">
        <v>142</v>
      </c>
      <c r="B48" s="273"/>
      <c r="C48" s="2" t="s">
        <v>141</v>
      </c>
      <c r="D48" s="111"/>
      <c r="E48" s="111"/>
      <c r="F48" s="111"/>
      <c r="G48" s="111"/>
      <c r="I48" s="111"/>
      <c r="J48" s="2"/>
      <c r="K48" s="2"/>
      <c r="L48" s="7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3">
      <c r="A49" s="2" t="s">
        <v>143</v>
      </c>
      <c r="B49" s="273"/>
      <c r="C49" s="2" t="s">
        <v>141</v>
      </c>
      <c r="D49" s="2"/>
      <c r="E49" s="2"/>
      <c r="F49" s="2"/>
      <c r="G49" s="2"/>
      <c r="I49" s="2"/>
      <c r="J49" s="2"/>
      <c r="K49" s="2"/>
      <c r="L49" s="7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3">
      <c r="A50" s="2" t="s">
        <v>144</v>
      </c>
      <c r="B50" s="273"/>
      <c r="C50" s="2" t="s">
        <v>141</v>
      </c>
      <c r="D50" s="2"/>
      <c r="E50" s="2"/>
      <c r="F50" s="2"/>
      <c r="G50" s="2"/>
      <c r="I50" s="2"/>
      <c r="J50" s="2"/>
      <c r="K50" s="2"/>
      <c r="L50" s="7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3">
      <c r="A51" s="2" t="s">
        <v>145</v>
      </c>
      <c r="B51" s="273"/>
      <c r="C51" s="2" t="s">
        <v>141</v>
      </c>
      <c r="D51" s="2"/>
      <c r="E51" s="2"/>
      <c r="F51" s="2"/>
      <c r="G51" s="2"/>
      <c r="I51" s="2"/>
      <c r="J51" s="2"/>
      <c r="K51" s="2"/>
      <c r="L51" s="7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3">
      <c r="A52" s="2" t="s">
        <v>146</v>
      </c>
      <c r="B52" s="273"/>
      <c r="C52" s="2" t="s">
        <v>141</v>
      </c>
      <c r="D52" s="2"/>
      <c r="E52" s="2"/>
      <c r="F52" s="2"/>
      <c r="G52" s="2"/>
      <c r="I52" s="2"/>
      <c r="J52" s="2"/>
      <c r="K52" s="2"/>
      <c r="L52" s="7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3">
      <c r="A53" s="2" t="s">
        <v>147</v>
      </c>
      <c r="B53" s="273"/>
      <c r="C53" s="2" t="s">
        <v>141</v>
      </c>
      <c r="D53" s="2"/>
      <c r="E53" s="2"/>
      <c r="F53" s="2"/>
      <c r="G53" s="2"/>
      <c r="I53" s="2"/>
      <c r="J53" s="2"/>
      <c r="K53" s="2"/>
      <c r="L53" s="7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3">
      <c r="A54" s="2" t="s">
        <v>148</v>
      </c>
      <c r="B54" s="273"/>
      <c r="C54" s="2" t="s">
        <v>141</v>
      </c>
      <c r="D54" s="2"/>
      <c r="E54" s="2"/>
      <c r="F54" s="2"/>
      <c r="G54" s="2"/>
      <c r="I54" s="2"/>
      <c r="J54" s="2"/>
      <c r="K54" s="2"/>
      <c r="L54" s="7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3">
      <c r="A55" s="2" t="s">
        <v>149</v>
      </c>
      <c r="B55" s="273"/>
      <c r="C55" s="2" t="s">
        <v>141</v>
      </c>
      <c r="D55" s="2"/>
      <c r="E55" s="2"/>
      <c r="F55" s="2"/>
      <c r="G55" s="2"/>
      <c r="I55" s="2"/>
      <c r="J55" s="2"/>
      <c r="K55" s="2"/>
      <c r="L55" s="7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3">
      <c r="A56" s="2" t="s">
        <v>150</v>
      </c>
      <c r="B56" s="273"/>
      <c r="C56" s="2" t="s">
        <v>141</v>
      </c>
      <c r="D56" s="2"/>
      <c r="E56" s="2"/>
      <c r="F56" s="2"/>
      <c r="G56" s="2"/>
      <c r="I56" s="2"/>
      <c r="J56" s="2"/>
      <c r="K56" s="2"/>
      <c r="L56" s="7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3">
      <c r="A57" s="2" t="s">
        <v>151</v>
      </c>
      <c r="B57" s="273"/>
      <c r="C57" s="2" t="s">
        <v>141</v>
      </c>
      <c r="D57" s="2"/>
      <c r="E57" s="2"/>
      <c r="F57" s="2"/>
      <c r="G57" s="2"/>
      <c r="I57" s="2"/>
      <c r="J57" s="2"/>
      <c r="K57" s="2"/>
      <c r="L57" s="7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3">
      <c r="A58" s="2"/>
      <c r="B58" s="110"/>
      <c r="C58" s="2"/>
      <c r="D58" s="2"/>
      <c r="E58" s="2"/>
      <c r="F58" s="2"/>
      <c r="G58" s="2"/>
      <c r="I58" s="2"/>
      <c r="J58" s="2"/>
      <c r="K58" s="2"/>
      <c r="L58" s="7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3">
      <c r="A59" s="2"/>
      <c r="B59" s="112"/>
      <c r="C59" s="2"/>
      <c r="D59" s="2"/>
      <c r="E59" s="2"/>
      <c r="F59" s="2"/>
      <c r="G59" s="2"/>
      <c r="I59" s="2"/>
      <c r="J59" s="2"/>
      <c r="K59" s="2"/>
      <c r="L59" s="7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3">
      <c r="A60" s="2"/>
      <c r="B60" s="112"/>
      <c r="C60" s="2"/>
      <c r="D60" s="2"/>
      <c r="E60" s="2"/>
      <c r="F60" s="2"/>
      <c r="G60" s="2"/>
      <c r="I60" s="2"/>
      <c r="J60" s="2"/>
      <c r="K60" s="2"/>
      <c r="L60" s="7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3">
      <c r="A61" s="2"/>
      <c r="B61" s="112"/>
      <c r="C61" s="2"/>
      <c r="D61" s="2"/>
      <c r="E61" s="2"/>
      <c r="F61" s="2"/>
      <c r="G61" s="2"/>
      <c r="I61" s="2"/>
      <c r="J61" s="2"/>
      <c r="K61" s="2"/>
      <c r="L61" s="7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3">
      <c r="A62" s="107" t="s">
        <v>152</v>
      </c>
      <c r="B62" s="2"/>
      <c r="C62" s="2"/>
      <c r="D62" s="2"/>
      <c r="E62" s="2"/>
      <c r="F62" s="2"/>
      <c r="G62" s="2"/>
      <c r="I62" s="2"/>
      <c r="J62" s="2"/>
      <c r="K62" s="2"/>
      <c r="L62" s="7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3">
      <c r="A63" s="32"/>
      <c r="B63" s="32"/>
      <c r="C63" s="110"/>
      <c r="D63" s="110"/>
      <c r="E63" s="110"/>
      <c r="F63" s="110"/>
      <c r="G63" s="110"/>
      <c r="I63" s="110"/>
      <c r="J63" s="2"/>
      <c r="K63" s="2"/>
      <c r="L63" s="7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3">
      <c r="A64" s="32"/>
      <c r="B64" s="32"/>
      <c r="C64" s="110"/>
      <c r="D64" s="110"/>
      <c r="E64" s="110"/>
      <c r="F64" s="110"/>
      <c r="G64" s="110"/>
      <c r="I64" s="110"/>
      <c r="J64" s="2"/>
      <c r="K64" s="2"/>
      <c r="L64" s="7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3">
      <c r="A65" s="32"/>
      <c r="B65" s="32"/>
      <c r="C65" s="110"/>
      <c r="D65" s="110"/>
      <c r="E65" s="110"/>
      <c r="F65" s="110"/>
      <c r="G65" s="110"/>
      <c r="I65" s="110"/>
      <c r="J65" s="2"/>
      <c r="K65" s="2"/>
      <c r="L65" s="7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3">
      <c r="A66" s="32"/>
      <c r="B66" s="32"/>
      <c r="C66" s="110"/>
      <c r="D66" s="110"/>
      <c r="E66" s="110"/>
      <c r="F66" s="110"/>
      <c r="G66" s="110"/>
      <c r="I66" s="110"/>
      <c r="J66" s="2"/>
      <c r="K66" s="2"/>
      <c r="L66" s="7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3">
      <c r="A67" s="32"/>
      <c r="B67" s="110"/>
      <c r="C67" s="113"/>
      <c r="D67" s="113"/>
      <c r="E67" s="113"/>
      <c r="F67" s="113"/>
      <c r="G67" s="113"/>
      <c r="I67" s="110"/>
      <c r="J67" s="2"/>
      <c r="K67" s="2"/>
      <c r="L67" s="7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3">
      <c r="A68" s="2" t="s">
        <v>153</v>
      </c>
      <c r="B68" s="112">
        <f t="shared" ref="B68:G68" si="2">SUM(B63:B67)</f>
        <v>0</v>
      </c>
      <c r="C68" s="112">
        <f t="shared" si="2"/>
        <v>0</v>
      </c>
      <c r="D68" s="112">
        <f t="shared" si="2"/>
        <v>0</v>
      </c>
      <c r="E68" s="112">
        <f t="shared" si="2"/>
        <v>0</v>
      </c>
      <c r="F68" s="112">
        <f t="shared" si="2"/>
        <v>0</v>
      </c>
      <c r="G68" s="112">
        <f t="shared" si="2"/>
        <v>0</v>
      </c>
      <c r="I68" s="112"/>
      <c r="J68" s="2"/>
      <c r="K68" s="2"/>
      <c r="L68" s="7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</sheetData>
  <mergeCells count="1">
    <mergeCell ref="I4:J4"/>
  </mergeCells>
  <phoneticPr fontId="46" type="noConversion"/>
  <printOptions horizontalCentered="1"/>
  <pageMargins left="0.27013888888888898" right="0.2" top="1" bottom="1" header="0.51180555555555496" footer="0.51180555555555496"/>
  <pageSetup firstPageNumber="0" orientation="landscape" horizontalDpi="300" verticalDpi="30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zoomScale="110" zoomScaleNormal="110" zoomScalePageLayoutView="110" workbookViewId="0">
      <selection activeCell="B23" sqref="B23"/>
    </sheetView>
  </sheetViews>
  <sheetFormatPr defaultColWidth="8.88671875" defaultRowHeight="13.2" x14ac:dyDescent="0.25"/>
  <cols>
    <col min="1" max="1" width="38.44140625" customWidth="1"/>
    <col min="2" max="5" width="15.109375" customWidth="1"/>
    <col min="6" max="6" width="45.6640625" customWidth="1"/>
    <col min="7" max="26" width="8.6640625" customWidth="1"/>
    <col min="27" max="1025" width="14.44140625" customWidth="1"/>
  </cols>
  <sheetData>
    <row r="1" spans="1:26" ht="18" x14ac:dyDescent="0.35">
      <c r="A1" s="114">
        <f>'Page 3-Assumptions'!A1</f>
        <v>0</v>
      </c>
      <c r="B1" s="115"/>
      <c r="C1" s="115"/>
      <c r="D1" s="115"/>
      <c r="E1" s="18"/>
      <c r="F1" s="116" t="s">
        <v>154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x14ac:dyDescent="0.35">
      <c r="A2" s="117" t="str">
        <f>B3</f>
        <v>YEAR 0</v>
      </c>
      <c r="B2" s="26"/>
      <c r="C2" s="26"/>
      <c r="D2" s="26"/>
      <c r="E2" s="21"/>
      <c r="F2" s="11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8" x14ac:dyDescent="0.3">
      <c r="A3" s="119"/>
      <c r="B3" s="325" t="str">
        <f>'Page 10-6 yr Budget-detail'!B4</f>
        <v>YEAR 0</v>
      </c>
      <c r="C3" s="325"/>
      <c r="D3" s="325"/>
      <c r="E3" s="325"/>
      <c r="F3" s="120" t="s">
        <v>155</v>
      </c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6" ht="27.6" x14ac:dyDescent="0.3">
      <c r="A4" s="24"/>
      <c r="B4" s="122" t="s">
        <v>156</v>
      </c>
      <c r="C4" s="122" t="s">
        <v>157</v>
      </c>
      <c r="D4" s="122" t="s">
        <v>158</v>
      </c>
      <c r="E4" s="122" t="s">
        <v>153</v>
      </c>
      <c r="F4" s="123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</row>
    <row r="5" spans="1:26" ht="13.8" x14ac:dyDescent="0.3">
      <c r="A5" s="124" t="s">
        <v>159</v>
      </c>
      <c r="B5" s="125"/>
      <c r="C5" s="125"/>
      <c r="D5" s="125"/>
      <c r="E5" s="126" t="s">
        <v>106</v>
      </c>
      <c r="F5" s="123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</row>
    <row r="6" spans="1:26" ht="13.8" x14ac:dyDescent="0.3">
      <c r="A6" s="124" t="s">
        <v>160</v>
      </c>
      <c r="B6" s="125"/>
      <c r="C6" s="125"/>
      <c r="D6" s="125"/>
      <c r="E6" s="127" t="s">
        <v>106</v>
      </c>
      <c r="F6" s="123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</row>
    <row r="7" spans="1:26" ht="13.8" x14ac:dyDescent="0.3">
      <c r="A7" s="24" t="s">
        <v>63</v>
      </c>
      <c r="B7" s="125"/>
      <c r="C7" s="125"/>
      <c r="D7" s="125"/>
      <c r="E7" s="128"/>
      <c r="F7" s="123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</row>
    <row r="8" spans="1:26" ht="14.25" customHeight="1" x14ac:dyDescent="0.3">
      <c r="A8" s="129" t="s">
        <v>161</v>
      </c>
      <c r="B8" s="130"/>
      <c r="C8" s="131">
        <v>0</v>
      </c>
      <c r="D8" s="130"/>
      <c r="E8" s="132">
        <f t="shared" ref="E8:E20" si="0">SUM(B8:D8)</f>
        <v>0</v>
      </c>
      <c r="F8" s="133" t="s">
        <v>26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8" x14ac:dyDescent="0.3">
      <c r="A9" s="129" t="s">
        <v>162</v>
      </c>
      <c r="B9" s="134" t="str">
        <f>'Page 3-Assumptions'!B25</f>
        <v>N/A</v>
      </c>
      <c r="C9" s="134">
        <v>0</v>
      </c>
      <c r="D9" s="134">
        <v>0</v>
      </c>
      <c r="E9" s="132">
        <f t="shared" si="0"/>
        <v>0</v>
      </c>
      <c r="F9" s="13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8" x14ac:dyDescent="0.3">
      <c r="A10" s="129" t="s">
        <v>163</v>
      </c>
      <c r="B10" s="134" t="str">
        <f>'Page 3-Assumptions'!B26</f>
        <v>N/A</v>
      </c>
      <c r="C10" s="134">
        <v>0</v>
      </c>
      <c r="D10" s="134">
        <v>0</v>
      </c>
      <c r="E10" s="132">
        <f t="shared" si="0"/>
        <v>0</v>
      </c>
      <c r="F10" s="13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8" x14ac:dyDescent="0.3">
      <c r="A11" s="129" t="s">
        <v>164</v>
      </c>
      <c r="B11" s="130"/>
      <c r="C11" s="130"/>
      <c r="D11" s="130"/>
      <c r="E11" s="132">
        <f t="shared" si="0"/>
        <v>0</v>
      </c>
      <c r="F11" s="13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8" x14ac:dyDescent="0.3">
      <c r="A12" s="129" t="s">
        <v>165</v>
      </c>
      <c r="B12" s="130"/>
      <c r="C12" s="130"/>
      <c r="D12" s="130"/>
      <c r="E12" s="132">
        <f t="shared" si="0"/>
        <v>0</v>
      </c>
      <c r="F12" s="13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8" x14ac:dyDescent="0.3">
      <c r="A13" s="129" t="s">
        <v>166</v>
      </c>
      <c r="B13" s="130"/>
      <c r="C13" s="130"/>
      <c r="D13" s="130"/>
      <c r="E13" s="132">
        <f t="shared" si="0"/>
        <v>0</v>
      </c>
      <c r="F13" s="135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8" x14ac:dyDescent="0.3">
      <c r="A14" s="129" t="s">
        <v>167</v>
      </c>
      <c r="B14" s="130"/>
      <c r="C14" s="130"/>
      <c r="D14" s="130"/>
      <c r="E14" s="132">
        <f t="shared" si="0"/>
        <v>0</v>
      </c>
      <c r="F14" s="13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8" x14ac:dyDescent="0.3">
      <c r="A15" s="136" t="s">
        <v>168</v>
      </c>
      <c r="B15" s="130"/>
      <c r="C15" s="130"/>
      <c r="D15" s="130"/>
      <c r="E15" s="132">
        <f t="shared" si="0"/>
        <v>0</v>
      </c>
      <c r="F15" s="13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8" x14ac:dyDescent="0.3">
      <c r="A16" s="136" t="s">
        <v>169</v>
      </c>
      <c r="B16" s="134" t="str">
        <f>IFERROR('Page 3-Assumptions'!B8*E6,"N/A")</f>
        <v>N/A</v>
      </c>
      <c r="C16" s="134">
        <v>0</v>
      </c>
      <c r="D16" s="134">
        <v>0</v>
      </c>
      <c r="E16" s="132">
        <f t="shared" si="0"/>
        <v>0</v>
      </c>
      <c r="F16" s="13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8" x14ac:dyDescent="0.3">
      <c r="A17" s="136" t="s">
        <v>170</v>
      </c>
      <c r="B17" s="134">
        <f>'Page 3-Assumptions'!B9</f>
        <v>0</v>
      </c>
      <c r="C17" s="134">
        <v>0</v>
      </c>
      <c r="D17" s="134">
        <v>0</v>
      </c>
      <c r="E17" s="132">
        <f t="shared" si="0"/>
        <v>0</v>
      </c>
      <c r="F17" s="13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3">
      <c r="A18" s="129" t="s">
        <v>171</v>
      </c>
      <c r="B18" s="134">
        <v>0</v>
      </c>
      <c r="C18" s="134">
        <f>'Page 3-Assumptions'!B11</f>
        <v>0</v>
      </c>
      <c r="D18" s="134">
        <v>0</v>
      </c>
      <c r="E18" s="132">
        <f t="shared" si="0"/>
        <v>0</v>
      </c>
      <c r="F18" s="13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8" x14ac:dyDescent="0.3">
      <c r="A19" s="129" t="s">
        <v>90</v>
      </c>
      <c r="B19" s="134">
        <f>'Page 3-Assumptions'!B14</f>
        <v>0</v>
      </c>
      <c r="C19" s="134">
        <v>0</v>
      </c>
      <c r="D19" s="134">
        <v>0</v>
      </c>
      <c r="E19" s="132">
        <f t="shared" si="0"/>
        <v>0</v>
      </c>
      <c r="F19" s="13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8" x14ac:dyDescent="0.3">
      <c r="A20" s="129" t="s">
        <v>172</v>
      </c>
      <c r="B20" s="131"/>
      <c r="C20" s="130"/>
      <c r="D20" s="130"/>
      <c r="E20" s="132">
        <f t="shared" si="0"/>
        <v>0</v>
      </c>
      <c r="F20" s="13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7.25" customHeight="1" x14ac:dyDescent="0.3">
      <c r="A21" s="129" t="s">
        <v>94</v>
      </c>
      <c r="B21" s="134">
        <f>'Page 3-Assumptions'!B16</f>
        <v>0</v>
      </c>
      <c r="C21" s="134">
        <v>0</v>
      </c>
      <c r="D21" s="134">
        <v>0</v>
      </c>
      <c r="E21" s="132"/>
      <c r="F21" s="13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3">
      <c r="A22" s="129" t="s">
        <v>311</v>
      </c>
      <c r="B22" s="134">
        <f>'Page 3-Assumptions'!B18</f>
        <v>0</v>
      </c>
      <c r="C22" s="134">
        <v>0</v>
      </c>
      <c r="D22" s="134">
        <v>0</v>
      </c>
      <c r="E22" s="132"/>
      <c r="F22" s="13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3">
      <c r="A23" s="129" t="s">
        <v>99</v>
      </c>
      <c r="B23" s="134">
        <v>0</v>
      </c>
      <c r="C23" s="134">
        <f>'Page 3-Assumptions'!B19</f>
        <v>0</v>
      </c>
      <c r="D23" s="134">
        <v>0</v>
      </c>
      <c r="E23" s="132">
        <f t="shared" ref="E23:E30" si="1">SUM(B23:D23)</f>
        <v>0</v>
      </c>
      <c r="F23" s="13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3">
      <c r="A24" s="129" t="s">
        <v>173</v>
      </c>
      <c r="B24" s="134">
        <v>0</v>
      </c>
      <c r="C24" s="134">
        <f>'Page 3-Assumptions'!B20</f>
        <v>0</v>
      </c>
      <c r="D24" s="134">
        <v>0</v>
      </c>
      <c r="E24" s="132">
        <f t="shared" si="1"/>
        <v>0</v>
      </c>
      <c r="F24" s="13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3">
      <c r="A25" s="129" t="s">
        <v>103</v>
      </c>
      <c r="B25" s="134">
        <v>0</v>
      </c>
      <c r="C25" s="134">
        <f>'Page 3-Assumptions'!B21</f>
        <v>0</v>
      </c>
      <c r="D25" s="134">
        <v>0</v>
      </c>
      <c r="E25" s="132">
        <f t="shared" si="1"/>
        <v>0</v>
      </c>
      <c r="F25" s="13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3">
      <c r="A26" s="129" t="s">
        <v>303</v>
      </c>
      <c r="B26" s="134">
        <v>0</v>
      </c>
      <c r="C26" s="134">
        <f>'Page 3-Assumptions'!B22</f>
        <v>0</v>
      </c>
      <c r="D26" s="134">
        <v>0</v>
      </c>
      <c r="E26" s="132">
        <f t="shared" ref="E26" si="2">SUM(B26:D26)</f>
        <v>0</v>
      </c>
      <c r="F26" s="13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3">
      <c r="A27" s="129" t="s">
        <v>174</v>
      </c>
      <c r="B27" s="130">
        <v>0</v>
      </c>
      <c r="C27" s="130">
        <v>0</v>
      </c>
      <c r="D27" s="130">
        <v>0</v>
      </c>
      <c r="E27" s="132">
        <f t="shared" si="1"/>
        <v>0</v>
      </c>
      <c r="F27" s="13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3">
      <c r="A28" s="129" t="s">
        <v>175</v>
      </c>
      <c r="B28" s="130">
        <v>0</v>
      </c>
      <c r="C28" s="130">
        <v>0</v>
      </c>
      <c r="D28" s="130">
        <f>'Support-CDE start-up grant'!B4</f>
        <v>0</v>
      </c>
      <c r="E28" s="132">
        <f t="shared" si="1"/>
        <v>0</v>
      </c>
      <c r="F28" s="13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3">
      <c r="A29" s="129" t="s">
        <v>67</v>
      </c>
      <c r="B29" s="134">
        <f>'Page 3-Assumptions'!B5</f>
        <v>0</v>
      </c>
      <c r="C29" s="134">
        <v>0</v>
      </c>
      <c r="D29" s="134">
        <v>0</v>
      </c>
      <c r="E29" s="132">
        <f t="shared" si="1"/>
        <v>0</v>
      </c>
      <c r="F29" s="135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3">
      <c r="A30" s="129" t="s">
        <v>176</v>
      </c>
      <c r="B30" s="137">
        <f>'Page 3-Assumptions'!B6</f>
        <v>0</v>
      </c>
      <c r="C30" s="137">
        <v>0</v>
      </c>
      <c r="D30" s="137">
        <f>'Page 3-Assumptions'!C6</f>
        <v>0</v>
      </c>
      <c r="E30" s="132">
        <f t="shared" si="1"/>
        <v>0</v>
      </c>
      <c r="F30" s="13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3">
      <c r="A31" s="138" t="s">
        <v>177</v>
      </c>
      <c r="B31" s="139">
        <f>SUM(B8:B30)</f>
        <v>0</v>
      </c>
      <c r="C31" s="139">
        <f>SUM(C8:C30)</f>
        <v>0</v>
      </c>
      <c r="D31" s="139">
        <f>SUM(D8:D30)</f>
        <v>0</v>
      </c>
      <c r="E31" s="139">
        <f>SUM(E8:E30)</f>
        <v>0</v>
      </c>
      <c r="F31" s="13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3">
      <c r="A32" s="140"/>
      <c r="B32" s="141"/>
      <c r="C32" s="141"/>
      <c r="D32" s="141"/>
      <c r="E32" s="142"/>
      <c r="F32" s="13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3">
      <c r="A33" s="143" t="s">
        <v>112</v>
      </c>
      <c r="B33" s="141"/>
      <c r="C33" s="141"/>
      <c r="D33" s="141"/>
      <c r="E33" s="142"/>
      <c r="F33" s="13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3">
      <c r="A34" s="129" t="s">
        <v>178</v>
      </c>
      <c r="B34" s="134">
        <f>('Page 2-Staffing Plan'!B32-(C34+D34))*0</f>
        <v>0</v>
      </c>
      <c r="C34" s="131"/>
      <c r="D34" s="130">
        <f>'Support-CDE start-up grant'!B6+'Support-CDE start-up grant'!B8</f>
        <v>0</v>
      </c>
      <c r="E34" s="132">
        <f t="shared" ref="E34:E75" si="3">SUM(B34:D34)</f>
        <v>0</v>
      </c>
      <c r="F34" s="13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3">
      <c r="A35" s="129" t="s">
        <v>179</v>
      </c>
      <c r="B35" s="130">
        <v>0</v>
      </c>
      <c r="C35" s="131"/>
      <c r="D35" s="130"/>
      <c r="E35" s="132">
        <f t="shared" si="3"/>
        <v>0</v>
      </c>
      <c r="F35" s="13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">
      <c r="A36" s="129" t="s">
        <v>180</v>
      </c>
      <c r="B36" s="134">
        <f>(B34+B35)*1.45%</f>
        <v>0</v>
      </c>
      <c r="C36" s="131"/>
      <c r="D36" s="130">
        <f>ROUND((D34+D35)*1.45%,0)</f>
        <v>0</v>
      </c>
      <c r="E36" s="132">
        <f t="shared" si="3"/>
        <v>0</v>
      </c>
      <c r="F36" s="13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3">
      <c r="A37" s="129" t="s">
        <v>181</v>
      </c>
      <c r="B37" s="134">
        <f>(B34+B35)*6.2%</f>
        <v>0</v>
      </c>
      <c r="C37" s="131"/>
      <c r="D37" s="130">
        <f>ROUND((D34+D35)*6.2%,0)</f>
        <v>0</v>
      </c>
      <c r="E37" s="132">
        <f t="shared" si="3"/>
        <v>0</v>
      </c>
      <c r="F37" s="13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">
      <c r="A38" s="129" t="s">
        <v>182</v>
      </c>
      <c r="B38" s="144"/>
      <c r="C38" s="131"/>
      <c r="D38" s="130"/>
      <c r="E38" s="132">
        <f t="shared" si="3"/>
        <v>0</v>
      </c>
      <c r="F38" s="135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3">
      <c r="A39" s="129" t="s">
        <v>183</v>
      </c>
      <c r="B39" s="134">
        <f>'Page 3-Assumptions'!B42*'Page 2-Staffing Plan'!C38</f>
        <v>0</v>
      </c>
      <c r="C39" s="131"/>
      <c r="D39" s="130"/>
      <c r="E39" s="132">
        <f t="shared" si="3"/>
        <v>0</v>
      </c>
      <c r="F39" s="135" t="s">
        <v>26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3">
      <c r="A40" s="129" t="s">
        <v>184</v>
      </c>
      <c r="B40" s="134">
        <f>'Page 3-Assumptions'!B43*'Page 2-Staffing Plan'!C38</f>
        <v>0</v>
      </c>
      <c r="C40" s="131"/>
      <c r="D40" s="130"/>
      <c r="E40" s="132">
        <f t="shared" si="3"/>
        <v>0</v>
      </c>
      <c r="F40" s="135" t="s">
        <v>26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3">
      <c r="A41" s="129" t="s">
        <v>185</v>
      </c>
      <c r="B41" s="134">
        <f>'Page 3-Assumptions'!B44*('Page 2-Staffing Plan'!D38-'Page 2-Staffing Plan'!C38)</f>
        <v>0</v>
      </c>
      <c r="C41" s="131"/>
      <c r="D41" s="130"/>
      <c r="E41" s="132">
        <f t="shared" si="3"/>
        <v>0</v>
      </c>
      <c r="F41" s="13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3">
      <c r="A42" s="129" t="s">
        <v>186</v>
      </c>
      <c r="B42" s="134"/>
      <c r="C42" s="131"/>
      <c r="D42" s="130"/>
      <c r="E42" s="132">
        <f t="shared" si="3"/>
        <v>0</v>
      </c>
      <c r="F42" s="13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">
      <c r="A43" s="129" t="s">
        <v>187</v>
      </c>
      <c r="B43" s="130"/>
      <c r="C43" s="145"/>
      <c r="D43" s="130"/>
      <c r="E43" s="132">
        <f t="shared" si="3"/>
        <v>0</v>
      </c>
      <c r="F43" s="13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">
      <c r="A44" s="129" t="s">
        <v>188</v>
      </c>
      <c r="B44" s="134">
        <f>'Page 3-Assumptions'!B68</f>
        <v>0</v>
      </c>
      <c r="C44" s="131"/>
      <c r="D44" s="130"/>
      <c r="E44" s="132">
        <f t="shared" si="3"/>
        <v>0</v>
      </c>
      <c r="F44" s="13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">
      <c r="A45" s="129" t="s">
        <v>189</v>
      </c>
      <c r="B45" s="130"/>
      <c r="C45" s="131"/>
      <c r="D45" s="130" t="s">
        <v>26</v>
      </c>
      <c r="E45" s="132">
        <f t="shared" si="3"/>
        <v>0</v>
      </c>
      <c r="F45" s="13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">
      <c r="A46" s="129" t="s">
        <v>190</v>
      </c>
      <c r="B46" s="130"/>
      <c r="C46" s="131"/>
      <c r="D46" s="130">
        <f>'Support-CDE start-up grant'!B11</f>
        <v>0</v>
      </c>
      <c r="E46" s="132">
        <f t="shared" si="3"/>
        <v>0</v>
      </c>
      <c r="F46" s="135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">
      <c r="A47" s="129" t="s">
        <v>191</v>
      </c>
      <c r="B47" s="130"/>
      <c r="C47" s="131"/>
      <c r="D47" s="130">
        <f>'Support-CDE start-up grant'!B10</f>
        <v>0</v>
      </c>
      <c r="E47" s="132">
        <f t="shared" si="3"/>
        <v>0</v>
      </c>
      <c r="F47" s="13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129" t="s">
        <v>192</v>
      </c>
      <c r="B48" s="130"/>
      <c r="C48" s="131"/>
      <c r="D48" s="130"/>
      <c r="E48" s="132">
        <f t="shared" si="3"/>
        <v>0</v>
      </c>
      <c r="F48" s="135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">
      <c r="A49" s="129" t="s">
        <v>193</v>
      </c>
      <c r="B49" s="130"/>
      <c r="C49" s="131"/>
      <c r="D49" s="130">
        <f>'Support-CDE start-up grant'!B12</f>
        <v>0</v>
      </c>
      <c r="E49" s="132">
        <f t="shared" si="3"/>
        <v>0</v>
      </c>
      <c r="F49" s="13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">
      <c r="A50" s="129" t="s">
        <v>194</v>
      </c>
      <c r="B50" s="131"/>
      <c r="C50" s="131"/>
      <c r="D50" s="130"/>
      <c r="E50" s="132">
        <f t="shared" si="3"/>
        <v>0</v>
      </c>
      <c r="F50" s="135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">
      <c r="A51" s="129" t="s">
        <v>195</v>
      </c>
      <c r="B51" s="130"/>
      <c r="C51" s="131"/>
      <c r="D51" s="130"/>
      <c r="E51" s="132">
        <f t="shared" si="3"/>
        <v>0</v>
      </c>
      <c r="F51" s="13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">
      <c r="A52" s="129" t="s">
        <v>196</v>
      </c>
      <c r="B52" s="130"/>
      <c r="C52" s="131"/>
      <c r="D52" s="130"/>
      <c r="E52" s="132">
        <f t="shared" si="3"/>
        <v>0</v>
      </c>
      <c r="F52" s="135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">
      <c r="A53" s="129" t="s">
        <v>197</v>
      </c>
      <c r="B53" s="130"/>
      <c r="C53" s="131"/>
      <c r="D53" s="130"/>
      <c r="E53" s="132">
        <f t="shared" si="3"/>
        <v>0</v>
      </c>
      <c r="F53" s="13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">
      <c r="A54" s="129" t="s">
        <v>198</v>
      </c>
      <c r="B54" s="130"/>
      <c r="C54" s="131"/>
      <c r="D54" s="130"/>
      <c r="E54" s="132">
        <f t="shared" si="3"/>
        <v>0</v>
      </c>
      <c r="F54" s="13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">
      <c r="A55" s="129" t="s">
        <v>199</v>
      </c>
      <c r="B55" s="134">
        <f>'Page 3-Assumptions'!B36</f>
        <v>0</v>
      </c>
      <c r="C55" s="131"/>
      <c r="D55" s="130"/>
      <c r="E55" s="132">
        <f t="shared" si="3"/>
        <v>0</v>
      </c>
      <c r="F55" s="13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">
      <c r="A56" s="129" t="s">
        <v>200</v>
      </c>
      <c r="B56" s="134">
        <f>'Page 3-Assumptions'!$B$35*(B34+B35)</f>
        <v>0</v>
      </c>
      <c r="C56" s="131"/>
      <c r="D56" s="130">
        <f>'Page 3-Assumptions'!$B$35*(D34+D35)</f>
        <v>0</v>
      </c>
      <c r="E56" s="132">
        <f t="shared" si="3"/>
        <v>0</v>
      </c>
      <c r="F56" s="13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">
      <c r="A57" s="129" t="s">
        <v>201</v>
      </c>
      <c r="B57" s="134"/>
      <c r="C57" s="131"/>
      <c r="D57" s="130"/>
      <c r="E57" s="132">
        <f t="shared" si="3"/>
        <v>0</v>
      </c>
      <c r="F57" s="13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">
      <c r="A58" s="129" t="s">
        <v>202</v>
      </c>
      <c r="B58" s="130"/>
      <c r="C58" s="131"/>
      <c r="D58" s="130"/>
      <c r="E58" s="132">
        <f t="shared" si="3"/>
        <v>0</v>
      </c>
      <c r="F58" s="13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">
      <c r="A59" s="129" t="s">
        <v>203</v>
      </c>
      <c r="B59" s="130"/>
      <c r="C59" s="131"/>
      <c r="D59" s="130"/>
      <c r="E59" s="132">
        <f t="shared" si="3"/>
        <v>0</v>
      </c>
      <c r="F59" s="13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">
      <c r="A60" s="129" t="s">
        <v>204</v>
      </c>
      <c r="B60" s="130" t="s">
        <v>26</v>
      </c>
      <c r="C60" s="131"/>
      <c r="D60" s="130"/>
      <c r="E60" s="132">
        <f t="shared" si="3"/>
        <v>0</v>
      </c>
      <c r="F60" s="13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">
      <c r="A61" s="129" t="s">
        <v>205</v>
      </c>
      <c r="B61" s="130" t="s">
        <v>26</v>
      </c>
      <c r="C61" s="131"/>
      <c r="D61" s="130">
        <f>'Support-CDE start-up grant'!B14</f>
        <v>0</v>
      </c>
      <c r="E61" s="132">
        <f t="shared" si="3"/>
        <v>0</v>
      </c>
      <c r="F61" s="135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">
      <c r="A62" s="129" t="s">
        <v>206</v>
      </c>
      <c r="B62" s="130"/>
      <c r="C62" s="131"/>
      <c r="D62" s="130"/>
      <c r="E62" s="132">
        <f t="shared" si="3"/>
        <v>0</v>
      </c>
      <c r="F62" s="13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">
      <c r="A63" s="129" t="s">
        <v>207</v>
      </c>
      <c r="B63" s="130"/>
      <c r="C63" s="131"/>
      <c r="D63" s="130"/>
      <c r="E63" s="132">
        <f t="shared" si="3"/>
        <v>0</v>
      </c>
      <c r="F63" s="13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">
      <c r="A64" s="129" t="s">
        <v>208</v>
      </c>
      <c r="B64" s="130"/>
      <c r="C64" s="131"/>
      <c r="D64" s="130"/>
      <c r="E64" s="132">
        <f t="shared" si="3"/>
        <v>0</v>
      </c>
      <c r="F64" s="13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">
      <c r="A65" s="129" t="s">
        <v>209</v>
      </c>
      <c r="B65" s="130"/>
      <c r="C65" s="131"/>
      <c r="D65" s="130"/>
      <c r="E65" s="132">
        <f t="shared" si="3"/>
        <v>0</v>
      </c>
      <c r="F65" s="13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">
      <c r="A66" s="129" t="s">
        <v>210</v>
      </c>
      <c r="B66" s="130" t="s">
        <v>26</v>
      </c>
      <c r="C66" s="131"/>
      <c r="D66" s="130"/>
      <c r="E66" s="132">
        <f t="shared" si="3"/>
        <v>0</v>
      </c>
      <c r="F66" s="13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">
      <c r="A67" s="129" t="s">
        <v>211</v>
      </c>
      <c r="B67" s="130"/>
      <c r="C67" s="110"/>
      <c r="D67" s="130">
        <f>'Support-CDE start-up grant'!B15</f>
        <v>0</v>
      </c>
      <c r="E67" s="132">
        <f t="shared" si="3"/>
        <v>0</v>
      </c>
      <c r="F67" s="13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">
      <c r="A68" s="129" t="s">
        <v>212</v>
      </c>
      <c r="B68" s="130"/>
      <c r="C68" s="131"/>
      <c r="D68" s="130" t="s">
        <v>26</v>
      </c>
      <c r="E68" s="132">
        <f t="shared" si="3"/>
        <v>0</v>
      </c>
      <c r="F68" s="135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">
      <c r="A69" s="129" t="s">
        <v>213</v>
      </c>
      <c r="B69" s="131"/>
      <c r="C69" s="131"/>
      <c r="D69" s="130"/>
      <c r="E69" s="132">
        <f t="shared" si="3"/>
        <v>0</v>
      </c>
      <c r="F69" s="135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">
      <c r="A70" s="129" t="s">
        <v>214</v>
      </c>
      <c r="B70" s="130"/>
      <c r="C70" s="131"/>
      <c r="D70" s="130">
        <f>'Support-CDE start-up grant'!B16+'Support-CDE start-up grant'!B17+'Support-CDE start-up grant'!B18</f>
        <v>0</v>
      </c>
      <c r="E70" s="132">
        <f t="shared" si="3"/>
        <v>0</v>
      </c>
      <c r="F70" s="13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">
      <c r="A71" s="129" t="s">
        <v>215</v>
      </c>
      <c r="B71" s="130"/>
      <c r="C71" s="131"/>
      <c r="D71" s="130">
        <f>'Support-CDE start-up grant'!B19+'Support-CDE start-up grant'!B20+'Support-CDE start-up grant'!B21</f>
        <v>0</v>
      </c>
      <c r="E71" s="132">
        <f t="shared" si="3"/>
        <v>0</v>
      </c>
      <c r="F71" s="135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">
      <c r="A72" s="129" t="s">
        <v>216</v>
      </c>
      <c r="B72" s="130"/>
      <c r="C72" s="131"/>
      <c r="D72" s="130"/>
      <c r="E72" s="132">
        <f t="shared" si="3"/>
        <v>0</v>
      </c>
      <c r="F72" s="13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">
      <c r="A73" s="129" t="s">
        <v>217</v>
      </c>
      <c r="B73" s="130"/>
      <c r="C73" s="131"/>
      <c r="D73" s="130"/>
      <c r="E73" s="132">
        <f t="shared" si="3"/>
        <v>0</v>
      </c>
      <c r="F73" s="13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">
      <c r="A74" s="129" t="s">
        <v>218</v>
      </c>
      <c r="B74" s="130"/>
      <c r="C74" s="131"/>
      <c r="D74" s="130"/>
      <c r="E74" s="132">
        <f t="shared" si="3"/>
        <v>0</v>
      </c>
      <c r="F74" s="13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">
      <c r="A75" s="129" t="s">
        <v>219</v>
      </c>
      <c r="B75" s="146"/>
      <c r="C75" s="147"/>
      <c r="D75" s="146"/>
      <c r="E75" s="132">
        <f t="shared" si="3"/>
        <v>0</v>
      </c>
      <c r="F75" s="13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">
      <c r="A76" s="148" t="s">
        <v>220</v>
      </c>
      <c r="B76" s="139">
        <f>SUM(B34:B75)</f>
        <v>0</v>
      </c>
      <c r="C76" s="139">
        <f>SUM(C34:C75)</f>
        <v>0</v>
      </c>
      <c r="D76" s="139">
        <f>SUM(D34:D75)</f>
        <v>0</v>
      </c>
      <c r="E76" s="139">
        <f>SUM(E34:E75)</f>
        <v>0</v>
      </c>
      <c r="F76" s="13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">
      <c r="A77" s="149"/>
      <c r="B77" s="141"/>
      <c r="C77" s="141"/>
      <c r="D77" s="141"/>
      <c r="E77" s="142"/>
      <c r="F77" s="13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">
      <c r="A78" s="148" t="s">
        <v>221</v>
      </c>
      <c r="B78" s="139">
        <f>B31-B76</f>
        <v>0</v>
      </c>
      <c r="C78" s="139">
        <f>C31-C76</f>
        <v>0</v>
      </c>
      <c r="D78" s="139">
        <f>D31-D76</f>
        <v>0</v>
      </c>
      <c r="E78" s="139">
        <f>E31-E76</f>
        <v>0</v>
      </c>
      <c r="F78" s="13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">
      <c r="A79" s="149"/>
      <c r="B79" s="141"/>
      <c r="C79" s="141"/>
      <c r="D79" s="141"/>
      <c r="E79" s="142"/>
      <c r="F79" s="13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">
      <c r="A80" s="150" t="s">
        <v>222</v>
      </c>
      <c r="B80" s="141"/>
      <c r="C80" s="141"/>
      <c r="D80" s="151"/>
      <c r="E80" s="142"/>
      <c r="F80" s="13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">
      <c r="A81" s="136" t="s">
        <v>223</v>
      </c>
      <c r="B81" s="141"/>
      <c r="C81" s="141"/>
      <c r="D81" s="141"/>
      <c r="E81" s="142">
        <f>SUM(B81:D81)</f>
        <v>0</v>
      </c>
      <c r="F81" s="118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">
      <c r="A82" s="149" t="s">
        <v>224</v>
      </c>
      <c r="B82" s="152"/>
      <c r="C82" s="152"/>
      <c r="D82" s="152"/>
      <c r="E82" s="142"/>
      <c r="F82" s="13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">
      <c r="A83" s="138" t="s">
        <v>225</v>
      </c>
      <c r="B83" s="153">
        <f>B78-B82</f>
        <v>0</v>
      </c>
      <c r="C83" s="153">
        <f>C78-C82</f>
        <v>0</v>
      </c>
      <c r="D83" s="153">
        <f>D78-D82</f>
        <v>0</v>
      </c>
      <c r="E83" s="153">
        <f>E78-E82</f>
        <v>0</v>
      </c>
      <c r="F83" s="13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">
      <c r="A84" s="41"/>
      <c r="B84" s="26"/>
      <c r="C84" s="26"/>
      <c r="D84" s="26"/>
      <c r="E84" s="21"/>
      <c r="F84" s="13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">
      <c r="A85" s="41" t="s">
        <v>226</v>
      </c>
      <c r="B85" s="26"/>
      <c r="C85" s="26"/>
      <c r="D85" s="26"/>
      <c r="E85" s="154">
        <v>0</v>
      </c>
      <c r="F85" s="135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">
      <c r="A86" s="41"/>
      <c r="B86" s="26"/>
      <c r="C86" s="26"/>
      <c r="D86" s="26"/>
      <c r="E86" s="154"/>
      <c r="F86" s="135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">
      <c r="A87" s="41" t="s">
        <v>227</v>
      </c>
      <c r="B87" s="26"/>
      <c r="C87" s="26"/>
      <c r="D87" s="26"/>
      <c r="E87" s="154">
        <f>E85+E83</f>
        <v>0</v>
      </c>
      <c r="F87" s="13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">
      <c r="A88" s="155" t="s">
        <v>228</v>
      </c>
      <c r="B88" s="26"/>
      <c r="C88" s="26"/>
      <c r="D88" s="26"/>
      <c r="E88" s="151">
        <f>E82</f>
        <v>0</v>
      </c>
      <c r="F88" s="118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">
      <c r="A89" s="155" t="s">
        <v>229</v>
      </c>
      <c r="B89" s="26"/>
      <c r="C89" s="26"/>
      <c r="D89" s="26"/>
      <c r="E89" s="151">
        <f>E87-E88</f>
        <v>0</v>
      </c>
      <c r="F89" s="118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8" x14ac:dyDescent="0.3">
      <c r="A90" s="155" t="s">
        <v>230</v>
      </c>
      <c r="B90" s="26"/>
      <c r="C90" s="26"/>
      <c r="D90" s="26"/>
      <c r="E90" s="156" t="e">
        <f>E89/E76</f>
        <v>#DIV/0!</v>
      </c>
      <c r="F90" s="118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8" x14ac:dyDescent="0.3">
      <c r="A91" s="157"/>
      <c r="B91" s="29"/>
      <c r="C91" s="29"/>
      <c r="D91" s="29"/>
      <c r="E91" s="30"/>
      <c r="F91" s="158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/>
    <row r="93" spans="1:26" ht="15.75" customHeight="1" x14ac:dyDescent="0.25"/>
    <row r="94" spans="1:26" ht="15.75" customHeight="1" x14ac:dyDescent="0.25"/>
    <row r="95" spans="1:26" ht="15.75" customHeight="1" x14ac:dyDescent="0.25"/>
    <row r="96" spans="1:2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1">
    <mergeCell ref="B3:E3"/>
  </mergeCells>
  <printOptions horizontalCentered="1"/>
  <pageMargins left="0.25" right="0.25" top="0.45" bottom="0.62013888888888902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zoomScale="110" zoomScaleNormal="110" zoomScalePageLayoutView="110" workbookViewId="0">
      <selection activeCell="B23" sqref="B23"/>
    </sheetView>
  </sheetViews>
  <sheetFormatPr defaultColWidth="8.88671875" defaultRowHeight="13.2" x14ac:dyDescent="0.25"/>
  <cols>
    <col min="1" max="1" width="39.44140625" customWidth="1"/>
    <col min="2" max="5" width="15.6640625" customWidth="1"/>
    <col min="6" max="6" width="45.6640625" customWidth="1"/>
    <col min="7" max="13" width="11.44140625" customWidth="1"/>
    <col min="14" max="26" width="8.6640625" customWidth="1"/>
    <col min="27" max="1025" width="14.44140625" customWidth="1"/>
  </cols>
  <sheetData>
    <row r="1" spans="1:26" ht="12.75" customHeight="1" x14ac:dyDescent="0.35">
      <c r="A1" s="114">
        <f>'Page 3-Assumptions'!A1</f>
        <v>0</v>
      </c>
      <c r="B1" s="115"/>
      <c r="C1" s="115"/>
      <c r="D1" s="115"/>
      <c r="E1" s="18"/>
      <c r="F1" s="116" t="s">
        <v>154</v>
      </c>
      <c r="G1" s="15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35">
      <c r="A2" s="117" t="str">
        <f>B3</f>
        <v>YEAR 1</v>
      </c>
      <c r="B2" s="26"/>
      <c r="C2" s="26"/>
      <c r="D2" s="26"/>
      <c r="E2" s="21"/>
      <c r="F2" s="118"/>
      <c r="G2" s="15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3">
      <c r="A3" s="119"/>
      <c r="B3" s="325" t="str">
        <f>'Page 10-6 yr Budget-detail'!C4</f>
        <v>YEAR 1</v>
      </c>
      <c r="C3" s="325"/>
      <c r="D3" s="325"/>
      <c r="E3" s="325"/>
      <c r="F3" s="160"/>
      <c r="G3" s="16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6" ht="12.75" customHeight="1" x14ac:dyDescent="0.3">
      <c r="A4" s="24"/>
      <c r="B4" s="122" t="s">
        <v>156</v>
      </c>
      <c r="C4" s="122" t="s">
        <v>157</v>
      </c>
      <c r="D4" s="122" t="s">
        <v>158</v>
      </c>
      <c r="E4" s="122" t="s">
        <v>153</v>
      </c>
      <c r="F4" s="162" t="s">
        <v>155</v>
      </c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</row>
    <row r="5" spans="1:26" ht="12.75" customHeight="1" x14ac:dyDescent="0.3">
      <c r="A5" s="124" t="s">
        <v>159</v>
      </c>
      <c r="B5" s="125"/>
      <c r="C5" s="125"/>
      <c r="D5" s="125"/>
      <c r="E5" s="163">
        <f>'Page 1-Enrollment Plan'!B20</f>
        <v>0</v>
      </c>
      <c r="F5" s="164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</row>
    <row r="6" spans="1:26" ht="12.75" customHeight="1" x14ac:dyDescent="0.3">
      <c r="A6" s="124" t="s">
        <v>160</v>
      </c>
      <c r="B6" s="125"/>
      <c r="C6" s="125"/>
      <c r="D6" s="125"/>
      <c r="E6" s="165">
        <f>'Page 1-Enrollment Plan'!B22</f>
        <v>0</v>
      </c>
      <c r="F6" s="123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</row>
    <row r="7" spans="1:26" ht="12.75" customHeight="1" x14ac:dyDescent="0.3">
      <c r="A7" s="24" t="s">
        <v>63</v>
      </c>
      <c r="B7" s="125"/>
      <c r="C7" s="125"/>
      <c r="D7" s="125"/>
      <c r="E7" s="128"/>
      <c r="F7" s="123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</row>
    <row r="8" spans="1:26" ht="12.75" customHeight="1" x14ac:dyDescent="0.3">
      <c r="A8" s="129" t="s">
        <v>161</v>
      </c>
      <c r="B8" s="131">
        <v>0</v>
      </c>
      <c r="C8" s="131">
        <v>0</v>
      </c>
      <c r="D8" s="130">
        <v>0</v>
      </c>
      <c r="E8" s="132">
        <f t="shared" ref="E8:E30" si="0">SUM(B8:D8)</f>
        <v>0</v>
      </c>
      <c r="F8" s="13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129" t="s">
        <v>162</v>
      </c>
      <c r="B9" s="134">
        <v>0</v>
      </c>
      <c r="C9" s="134">
        <v>0</v>
      </c>
      <c r="D9" s="134">
        <v>0</v>
      </c>
      <c r="E9" s="132">
        <f t="shared" si="0"/>
        <v>0</v>
      </c>
      <c r="F9" s="13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129" t="s">
        <v>163</v>
      </c>
      <c r="B10" s="134">
        <f>'Page 3-Assumptions'!C26</f>
        <v>0</v>
      </c>
      <c r="C10" s="134">
        <v>0</v>
      </c>
      <c r="D10" s="134">
        <v>0</v>
      </c>
      <c r="E10" s="132">
        <f t="shared" si="0"/>
        <v>0</v>
      </c>
      <c r="F10" s="135" t="s">
        <v>231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129" t="s">
        <v>164</v>
      </c>
      <c r="B11" s="131">
        <v>0</v>
      </c>
      <c r="C11" s="130">
        <v>0</v>
      </c>
      <c r="D11" s="130">
        <v>0</v>
      </c>
      <c r="E11" s="132">
        <f t="shared" si="0"/>
        <v>0</v>
      </c>
      <c r="F11" s="13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">
      <c r="A12" s="129" t="s">
        <v>165</v>
      </c>
      <c r="B12" s="130">
        <v>0</v>
      </c>
      <c r="C12" s="130">
        <v>0</v>
      </c>
      <c r="D12" s="130">
        <v>0</v>
      </c>
      <c r="E12" s="132">
        <f t="shared" si="0"/>
        <v>0</v>
      </c>
      <c r="F12" s="13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">
      <c r="A13" s="129" t="s">
        <v>166</v>
      </c>
      <c r="B13" s="145">
        <f>B74</f>
        <v>0</v>
      </c>
      <c r="C13" s="130">
        <v>0</v>
      </c>
      <c r="D13" s="130">
        <v>0</v>
      </c>
      <c r="E13" s="132">
        <f t="shared" si="0"/>
        <v>0</v>
      </c>
      <c r="F13" s="135" t="s">
        <v>232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129" t="s">
        <v>167</v>
      </c>
      <c r="B14" s="145">
        <f>100*E5*0.8</f>
        <v>0</v>
      </c>
      <c r="C14" s="130">
        <v>0</v>
      </c>
      <c r="D14" s="130">
        <v>0</v>
      </c>
      <c r="E14" s="132">
        <f t="shared" si="0"/>
        <v>0</v>
      </c>
      <c r="F14" s="135" t="s">
        <v>233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136" t="s">
        <v>168</v>
      </c>
      <c r="B15" s="131">
        <v>0</v>
      </c>
      <c r="C15" s="130">
        <v>0</v>
      </c>
      <c r="D15" s="130">
        <v>0</v>
      </c>
      <c r="E15" s="132">
        <f t="shared" si="0"/>
        <v>0</v>
      </c>
      <c r="F15" s="13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">
      <c r="A16" s="136" t="s">
        <v>169</v>
      </c>
      <c r="B16" s="134">
        <f>E6*'Page 3-Assumptions'!C8</f>
        <v>0</v>
      </c>
      <c r="C16" s="134">
        <v>0</v>
      </c>
      <c r="D16" s="134">
        <v>0</v>
      </c>
      <c r="E16" s="132">
        <f t="shared" si="0"/>
        <v>0</v>
      </c>
      <c r="F16" s="13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3">
      <c r="A17" s="136" t="s">
        <v>170</v>
      </c>
      <c r="B17" s="134">
        <f>'Page 3-Assumptions'!C9</f>
        <v>0</v>
      </c>
      <c r="C17" s="134">
        <v>0</v>
      </c>
      <c r="D17" s="134">
        <v>0</v>
      </c>
      <c r="E17" s="132">
        <f t="shared" si="0"/>
        <v>0</v>
      </c>
      <c r="F17" s="13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3">
      <c r="A18" s="129" t="s">
        <v>171</v>
      </c>
      <c r="B18" s="134">
        <v>0</v>
      </c>
      <c r="C18" s="134">
        <f>'Page 3-Assumptions'!$C$11</f>
        <v>0</v>
      </c>
      <c r="D18" s="134">
        <v>0</v>
      </c>
      <c r="E18" s="132">
        <f t="shared" si="0"/>
        <v>0</v>
      </c>
      <c r="F18" s="13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3">
      <c r="A19" s="129" t="s">
        <v>90</v>
      </c>
      <c r="B19" s="134">
        <f>'Page 3-Assumptions'!C14</f>
        <v>500</v>
      </c>
      <c r="C19" s="134">
        <v>0</v>
      </c>
      <c r="D19" s="134">
        <v>0</v>
      </c>
      <c r="E19" s="132">
        <f t="shared" si="0"/>
        <v>500</v>
      </c>
      <c r="F19" s="13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3">
      <c r="A20" s="129" t="s">
        <v>172</v>
      </c>
      <c r="B20" s="131">
        <v>0</v>
      </c>
      <c r="C20" s="130">
        <v>0</v>
      </c>
      <c r="D20" s="130">
        <v>0</v>
      </c>
      <c r="E20" s="132">
        <f t="shared" si="0"/>
        <v>0</v>
      </c>
      <c r="F20" s="13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3">
      <c r="A21" s="129" t="s">
        <v>94</v>
      </c>
      <c r="B21" s="134">
        <f>'Page 3-Assumptions'!C16</f>
        <v>0</v>
      </c>
      <c r="C21" s="134">
        <v>0</v>
      </c>
      <c r="D21" s="134">
        <v>0</v>
      </c>
      <c r="E21" s="132">
        <f t="shared" si="0"/>
        <v>0</v>
      </c>
      <c r="F21" s="13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">
      <c r="A22" s="129" t="s">
        <v>311</v>
      </c>
      <c r="B22" s="134">
        <f>'Page 3-Assumptions'!C18</f>
        <v>0</v>
      </c>
      <c r="C22" s="134">
        <v>0</v>
      </c>
      <c r="D22" s="134">
        <v>0</v>
      </c>
      <c r="E22" s="132"/>
      <c r="F22" s="13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A23" s="129" t="s">
        <v>99</v>
      </c>
      <c r="B23" s="134">
        <f>'Page 3-Assumptions'!C19*0</f>
        <v>0</v>
      </c>
      <c r="C23" s="134">
        <f>'Page 3-Assumptions'!$C$19</f>
        <v>0</v>
      </c>
      <c r="D23" s="134">
        <v>0</v>
      </c>
      <c r="E23" s="132">
        <f t="shared" si="0"/>
        <v>0</v>
      </c>
      <c r="F23" s="13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3">
      <c r="A24" s="129" t="s">
        <v>173</v>
      </c>
      <c r="B24" s="134">
        <f>'Page 3-Assumptions'!C20*0</f>
        <v>0</v>
      </c>
      <c r="C24" s="134">
        <f>'Page 3-Assumptions'!$C$20</f>
        <v>0</v>
      </c>
      <c r="D24" s="134">
        <v>0</v>
      </c>
      <c r="E24" s="132">
        <f t="shared" si="0"/>
        <v>0</v>
      </c>
      <c r="F24" s="13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3">
      <c r="A25" s="166" t="s">
        <v>103</v>
      </c>
      <c r="B25" s="134">
        <f>'Page 3-Assumptions'!C21</f>
        <v>0</v>
      </c>
      <c r="C25" s="134">
        <f>'Page 3-Assumptions'!$C$21</f>
        <v>0</v>
      </c>
      <c r="D25" s="134">
        <v>0</v>
      </c>
      <c r="E25" s="132">
        <f t="shared" si="0"/>
        <v>0</v>
      </c>
      <c r="F25" s="13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129" t="s">
        <v>303</v>
      </c>
      <c r="B26" s="134">
        <v>0</v>
      </c>
      <c r="C26" s="134">
        <f>'Page 3-Assumptions'!$C22</f>
        <v>1500</v>
      </c>
      <c r="D26" s="134">
        <v>0</v>
      </c>
      <c r="E26" s="132">
        <f t="shared" si="0"/>
        <v>1500</v>
      </c>
      <c r="F26" s="13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166" t="s">
        <v>174</v>
      </c>
      <c r="B27" s="130">
        <v>0</v>
      </c>
      <c r="C27" s="130">
        <v>0</v>
      </c>
      <c r="D27" s="130">
        <v>0</v>
      </c>
      <c r="E27" s="132">
        <f t="shared" si="0"/>
        <v>0</v>
      </c>
      <c r="F27" s="13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3">
      <c r="A28" s="166" t="s">
        <v>175</v>
      </c>
      <c r="B28" s="134">
        <v>0</v>
      </c>
      <c r="C28" s="134">
        <v>0</v>
      </c>
      <c r="D28" s="134">
        <f>'Support-CDE start-up grant'!C4</f>
        <v>0</v>
      </c>
      <c r="E28" s="132">
        <f t="shared" si="0"/>
        <v>0</v>
      </c>
      <c r="F28" s="13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3">
      <c r="A29" s="166" t="s">
        <v>67</v>
      </c>
      <c r="B29" s="134">
        <f>'Page 3-Assumptions'!C5*E6</f>
        <v>0</v>
      </c>
      <c r="C29" s="134">
        <v>0</v>
      </c>
      <c r="D29" s="134"/>
      <c r="E29" s="132">
        <f t="shared" si="0"/>
        <v>0</v>
      </c>
      <c r="F29" s="135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3">
      <c r="A30" s="129" t="s">
        <v>176</v>
      </c>
      <c r="B30" s="137">
        <f>'Page 3-Assumptions'!C6</f>
        <v>0</v>
      </c>
      <c r="C30" s="137">
        <v>0</v>
      </c>
      <c r="D30" s="137">
        <v>0</v>
      </c>
      <c r="E30" s="132">
        <f t="shared" si="0"/>
        <v>0</v>
      </c>
      <c r="F30" s="13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3">
      <c r="A31" s="138" t="s">
        <v>177</v>
      </c>
      <c r="B31" s="139">
        <f>SUM(B8:B30)</f>
        <v>500</v>
      </c>
      <c r="C31" s="139">
        <f>SUM(C8:C30)</f>
        <v>1500</v>
      </c>
      <c r="D31" s="139">
        <f>SUM(D8:D30)</f>
        <v>0</v>
      </c>
      <c r="E31" s="139">
        <f>SUM(E8:E30)</f>
        <v>2000</v>
      </c>
      <c r="F31" s="13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3">
      <c r="A32" s="140"/>
      <c r="B32" s="167"/>
      <c r="C32" s="167"/>
      <c r="D32" s="167"/>
      <c r="E32" s="168"/>
      <c r="F32" s="13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3">
      <c r="A33" s="143" t="s">
        <v>112</v>
      </c>
      <c r="B33" s="134">
        <v>0</v>
      </c>
      <c r="C33" s="134">
        <v>0</v>
      </c>
      <c r="D33" s="134">
        <v>0</v>
      </c>
      <c r="E33" s="132"/>
      <c r="F33" s="13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3">
      <c r="A34" s="129" t="s">
        <v>178</v>
      </c>
      <c r="B34" s="134">
        <f>'Page 2-Staffing Plan'!C32-(C34+D34)</f>
        <v>504700</v>
      </c>
      <c r="C34" s="130">
        <v>0</v>
      </c>
      <c r="D34" s="130">
        <v>0</v>
      </c>
      <c r="E34" s="132">
        <f t="shared" ref="E34:E75" si="1">SUM(B34:D34)</f>
        <v>504700</v>
      </c>
      <c r="F34" s="13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3">
      <c r="A35" s="129" t="s">
        <v>179</v>
      </c>
      <c r="B35" s="134">
        <f>('Page 3-Assumptions'!B40* 'Page 3-Assumptions'!B41)*('Page 2-Staffing Plan'!C15)*1</f>
        <v>0</v>
      </c>
      <c r="C35" s="130">
        <v>0</v>
      </c>
      <c r="D35" s="130">
        <v>0</v>
      </c>
      <c r="E35" s="132">
        <f t="shared" si="1"/>
        <v>0</v>
      </c>
      <c r="F35" s="13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3">
      <c r="A36" s="129" t="s">
        <v>180</v>
      </c>
      <c r="B36" s="169">
        <f>((E34+E35)*1.45%)-C36</f>
        <v>7318.15</v>
      </c>
      <c r="C36" s="134">
        <f>ROUND((C34+C35)*1.45%,0)</f>
        <v>0</v>
      </c>
      <c r="D36" s="130">
        <v>0</v>
      </c>
      <c r="E36" s="132">
        <f t="shared" si="1"/>
        <v>7318.15</v>
      </c>
      <c r="F36" s="13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">
      <c r="A37" s="129" t="s">
        <v>181</v>
      </c>
      <c r="B37" s="134">
        <v>0</v>
      </c>
      <c r="C37" s="130">
        <v>0</v>
      </c>
      <c r="D37" s="130">
        <v>0</v>
      </c>
      <c r="E37" s="132">
        <f t="shared" si="1"/>
        <v>0</v>
      </c>
      <c r="F37" s="13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3">
      <c r="A38" s="129" t="s">
        <v>182</v>
      </c>
      <c r="B38" s="134">
        <f>((E34+E35)*'Page 3-Assumptions'!C32)-C38</f>
        <v>102958.79999999999</v>
      </c>
      <c r="C38" s="130">
        <v>0</v>
      </c>
      <c r="D38" s="130">
        <v>0</v>
      </c>
      <c r="E38" s="132">
        <f t="shared" si="1"/>
        <v>102958.79999999999</v>
      </c>
      <c r="F38" s="135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">
      <c r="A39" s="129" t="s">
        <v>183</v>
      </c>
      <c r="B39" s="134">
        <f>(('Page 3-Assumptions'!B42*1.05*('Page 2-Staffing Plan'!C37)))</f>
        <v>0</v>
      </c>
      <c r="C39" s="130">
        <v>0</v>
      </c>
      <c r="D39" s="130">
        <v>0</v>
      </c>
      <c r="E39" s="132">
        <f t="shared" si="1"/>
        <v>0</v>
      </c>
      <c r="F39" s="13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3">
      <c r="A40" s="129" t="s">
        <v>184</v>
      </c>
      <c r="B40" s="134">
        <f>'Page 3-Assumptions'!B43*'Page 2-Staffing Plan'!C37</f>
        <v>0</v>
      </c>
      <c r="C40" s="130">
        <v>0</v>
      </c>
      <c r="D40" s="130">
        <v>0</v>
      </c>
      <c r="E40" s="132">
        <f t="shared" si="1"/>
        <v>0</v>
      </c>
      <c r="F40" s="13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3">
      <c r="A41" s="136" t="s">
        <v>185</v>
      </c>
      <c r="B41" s="134">
        <f>'Page 3-Assumptions'!$B$44*'Page 2-Staffing Plan'!C37</f>
        <v>0</v>
      </c>
      <c r="C41" s="130">
        <v>0</v>
      </c>
      <c r="D41" s="130">
        <v>0</v>
      </c>
      <c r="E41" s="132">
        <f t="shared" si="1"/>
        <v>0</v>
      </c>
      <c r="F41" s="13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">
      <c r="A42" s="129" t="s">
        <v>186</v>
      </c>
      <c r="B42" s="134">
        <v>0</v>
      </c>
      <c r="C42" s="131">
        <v>0</v>
      </c>
      <c r="D42" s="130">
        <v>0</v>
      </c>
      <c r="E42" s="132">
        <f t="shared" si="1"/>
        <v>0</v>
      </c>
      <c r="F42" s="13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3">
      <c r="A43" s="136" t="s">
        <v>187</v>
      </c>
      <c r="B43" s="134">
        <f>('Page 3-Assumptions'!$B$46*'Page 2-Staffing Plan'!C37)</f>
        <v>0</v>
      </c>
      <c r="C43" s="130">
        <v>0</v>
      </c>
      <c r="D43" s="130">
        <v>0</v>
      </c>
      <c r="E43" s="132">
        <f t="shared" si="1"/>
        <v>0</v>
      </c>
      <c r="F43" s="135"/>
      <c r="G43" s="2" t="s">
        <v>26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3">
      <c r="A44" s="136" t="s">
        <v>188</v>
      </c>
      <c r="B44" s="134">
        <v>0</v>
      </c>
      <c r="C44" s="130">
        <v>0</v>
      </c>
      <c r="D44" s="130">
        <v>0</v>
      </c>
      <c r="E44" s="132">
        <f t="shared" si="1"/>
        <v>0</v>
      </c>
      <c r="F44" s="13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3">
      <c r="A45" s="129" t="s">
        <v>189</v>
      </c>
      <c r="B45" s="134">
        <f>E5*'Page 3-Assumptions'!$B$47</f>
        <v>0</v>
      </c>
      <c r="C45" s="130">
        <v>0</v>
      </c>
      <c r="D45" s="130">
        <v>0</v>
      </c>
      <c r="E45" s="132">
        <f t="shared" si="1"/>
        <v>0</v>
      </c>
      <c r="F45" s="135"/>
      <c r="G45" s="2"/>
      <c r="H45" s="2"/>
      <c r="I45" s="2"/>
      <c r="J45" s="2"/>
      <c r="K45" s="2"/>
      <c r="L45" s="2"/>
      <c r="M45" s="2" t="s">
        <v>234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3">
      <c r="A46" s="136" t="s">
        <v>190</v>
      </c>
      <c r="B46" s="131">
        <f>5000*0</f>
        <v>0</v>
      </c>
      <c r="C46" s="130">
        <v>0</v>
      </c>
      <c r="D46" s="130">
        <f>'Support-CDE start-up grant'!C11</f>
        <v>0</v>
      </c>
      <c r="E46" s="132">
        <f t="shared" si="1"/>
        <v>0</v>
      </c>
      <c r="F46" s="135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3">
      <c r="A47" s="136" t="s">
        <v>191</v>
      </c>
      <c r="B47" s="131"/>
      <c r="C47" s="130">
        <v>0</v>
      </c>
      <c r="D47" s="130">
        <f>'Support-CDE start-up grant'!C10</f>
        <v>0</v>
      </c>
      <c r="E47" s="132">
        <f t="shared" si="1"/>
        <v>0</v>
      </c>
      <c r="F47" s="135" t="s">
        <v>235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3">
      <c r="A48" s="136" t="s">
        <v>192</v>
      </c>
      <c r="B48" s="134"/>
      <c r="C48" s="130">
        <f>SUM(C17:C25)</f>
        <v>0</v>
      </c>
      <c r="D48" s="130">
        <v>0</v>
      </c>
      <c r="E48" s="132">
        <f t="shared" si="1"/>
        <v>0</v>
      </c>
      <c r="F48" s="135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3">
      <c r="A49" s="136" t="s">
        <v>193</v>
      </c>
      <c r="B49" s="134">
        <f>50000*0</f>
        <v>0</v>
      </c>
      <c r="C49" s="130">
        <v>0</v>
      </c>
      <c r="D49" s="130">
        <f>'Support-CDE start-up grant'!C12</f>
        <v>0</v>
      </c>
      <c r="E49" s="132">
        <f t="shared" si="1"/>
        <v>0</v>
      </c>
      <c r="F49" s="13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3">
      <c r="A50" s="129" t="s">
        <v>194</v>
      </c>
      <c r="B50" s="131"/>
      <c r="C50" s="131">
        <v>0</v>
      </c>
      <c r="D50" s="130">
        <v>0</v>
      </c>
      <c r="E50" s="132">
        <f t="shared" si="1"/>
        <v>0</v>
      </c>
      <c r="F50" s="135" t="s">
        <v>236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3">
      <c r="A51" s="136" t="s">
        <v>195</v>
      </c>
      <c r="B51" s="131"/>
      <c r="C51" s="130">
        <v>0</v>
      </c>
      <c r="D51" s="130">
        <v>0</v>
      </c>
      <c r="E51" s="132">
        <f t="shared" si="1"/>
        <v>0</v>
      </c>
      <c r="F51" s="13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3">
      <c r="A52" s="136" t="s">
        <v>196</v>
      </c>
      <c r="B52" s="131"/>
      <c r="C52" s="130">
        <v>0</v>
      </c>
      <c r="D52" s="130">
        <v>0</v>
      </c>
      <c r="E52" s="132">
        <f t="shared" si="1"/>
        <v>0</v>
      </c>
      <c r="F52" s="135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3">
      <c r="A53" s="136" t="s">
        <v>197</v>
      </c>
      <c r="B53" s="134">
        <f>(SUM('Page 1-Enrollment Plan'!B7:B17))*'Page 3-Assumptions'!$B$48</f>
        <v>0</v>
      </c>
      <c r="C53" s="130">
        <v>0</v>
      </c>
      <c r="D53" s="130">
        <v>0</v>
      </c>
      <c r="E53" s="132">
        <f t="shared" si="1"/>
        <v>0</v>
      </c>
      <c r="F53" s="13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3">
      <c r="A54" s="136" t="s">
        <v>198</v>
      </c>
      <c r="B54" s="134">
        <f>('Page 3-Assumptions'!$B$49+'Page 3-Assumptions'!$B$50)*'Page 1-Enrollment Plan'!B20</f>
        <v>0</v>
      </c>
      <c r="C54" s="130">
        <v>0</v>
      </c>
      <c r="D54" s="130">
        <v>0</v>
      </c>
      <c r="E54" s="132">
        <f t="shared" si="1"/>
        <v>0</v>
      </c>
      <c r="F54" s="13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3">
      <c r="A55" s="129" t="s">
        <v>199</v>
      </c>
      <c r="B55" s="134">
        <f>'Page 3-Assumptions'!C36</f>
        <v>0</v>
      </c>
      <c r="C55" s="130">
        <v>0</v>
      </c>
      <c r="D55" s="130">
        <v>0</v>
      </c>
      <c r="E55" s="132">
        <f t="shared" si="1"/>
        <v>0</v>
      </c>
      <c r="F55" s="13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3">
      <c r="A56" s="136" t="s">
        <v>200</v>
      </c>
      <c r="B56" s="134">
        <f>'Page 3-Assumptions'!$C$35*(E34+E35)</f>
        <v>1514.1000000000001</v>
      </c>
      <c r="C56" s="130">
        <v>0</v>
      </c>
      <c r="D56" s="130">
        <v>0</v>
      </c>
      <c r="E56" s="132">
        <f t="shared" si="1"/>
        <v>1514.1000000000001</v>
      </c>
      <c r="F56" s="13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3">
      <c r="A57" s="136" t="s">
        <v>201</v>
      </c>
      <c r="B57" s="134">
        <f>((E34+E35)/100)*2</f>
        <v>10094</v>
      </c>
      <c r="C57" s="130">
        <v>0</v>
      </c>
      <c r="D57" s="130">
        <v>0</v>
      </c>
      <c r="E57" s="132">
        <f t="shared" si="1"/>
        <v>10094</v>
      </c>
      <c r="F57" s="13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3">
      <c r="A58" s="136" t="s">
        <v>202</v>
      </c>
      <c r="B58" s="131"/>
      <c r="C58" s="130">
        <v>0</v>
      </c>
      <c r="D58" s="130">
        <v>0</v>
      </c>
      <c r="E58" s="132">
        <f t="shared" si="1"/>
        <v>0</v>
      </c>
      <c r="F58" s="13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3">
      <c r="A59" s="136" t="s">
        <v>203</v>
      </c>
      <c r="B59" s="134">
        <f>'Page 3-Assumptions'!$B$51*'Page 1-Enrollment Plan'!$B$20</f>
        <v>0</v>
      </c>
      <c r="C59" s="130">
        <v>0</v>
      </c>
      <c r="D59" s="130">
        <v>0</v>
      </c>
      <c r="E59" s="132">
        <f t="shared" si="1"/>
        <v>0</v>
      </c>
      <c r="F59" s="13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3">
      <c r="A60" s="136" t="s">
        <v>204</v>
      </c>
      <c r="B60" s="134">
        <f>E5*'Page 3-Assumptions'!$B$52*0</f>
        <v>0</v>
      </c>
      <c r="C60" s="130">
        <v>0</v>
      </c>
      <c r="D60" s="130">
        <f>'Support-CDE start-up grant'!C13</f>
        <v>0</v>
      </c>
      <c r="E60" s="132">
        <f t="shared" si="1"/>
        <v>0</v>
      </c>
      <c r="F60" s="13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3">
      <c r="A61" s="129" t="s">
        <v>205</v>
      </c>
      <c r="B61" s="134">
        <f>'Page 2-Staffing Plan'!C37*'Page 3-Assumptions'!$B$45*0</f>
        <v>0</v>
      </c>
      <c r="C61" s="130">
        <v>0</v>
      </c>
      <c r="D61" s="170">
        <f>'Support-CDE start-up grant'!C14</f>
        <v>0</v>
      </c>
      <c r="E61" s="132">
        <f t="shared" si="1"/>
        <v>0</v>
      </c>
      <c r="F61" s="135" t="s">
        <v>26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3">
      <c r="A62" s="136" t="s">
        <v>206</v>
      </c>
      <c r="B62" s="134">
        <f>E29*'Page 3-Assumptions'!C30</f>
        <v>0</v>
      </c>
      <c r="C62" s="130">
        <v>0</v>
      </c>
      <c r="D62" s="130">
        <v>0</v>
      </c>
      <c r="E62" s="132">
        <f t="shared" si="1"/>
        <v>0</v>
      </c>
      <c r="F62" s="13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3">
      <c r="A63" s="129" t="s">
        <v>207</v>
      </c>
      <c r="B63" s="134">
        <f>B29*'Page 3-Assumptions'!C31</f>
        <v>0</v>
      </c>
      <c r="C63" s="130">
        <v>0</v>
      </c>
      <c r="D63" s="130">
        <v>0</v>
      </c>
      <c r="E63" s="132">
        <f t="shared" si="1"/>
        <v>0</v>
      </c>
      <c r="F63" s="135"/>
      <c r="G63" s="2" t="s">
        <v>26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3">
      <c r="A64" s="129" t="s">
        <v>208</v>
      </c>
      <c r="B64" s="134">
        <f>('Page 3-Assumptions'!$B$53*'Page 1-Enrollment Plan'!$B$20)</f>
        <v>0</v>
      </c>
      <c r="C64" s="130">
        <v>0</v>
      </c>
      <c r="D64" s="130">
        <v>0</v>
      </c>
      <c r="E64" s="132">
        <f t="shared" si="1"/>
        <v>0</v>
      </c>
      <c r="F64" s="13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3">
      <c r="A65" s="129" t="s">
        <v>209</v>
      </c>
      <c r="B65" s="134">
        <f>E5*'Page 3-Assumptions'!$B$54</f>
        <v>0</v>
      </c>
      <c r="C65" s="130">
        <v>0</v>
      </c>
      <c r="D65" s="130">
        <v>0</v>
      </c>
      <c r="E65" s="132">
        <f t="shared" si="1"/>
        <v>0</v>
      </c>
      <c r="F65" s="13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3">
      <c r="A66" s="129" t="s">
        <v>210</v>
      </c>
      <c r="B66" s="134">
        <f>E5*'Page 3-Assumptions'!$B$55</f>
        <v>0</v>
      </c>
      <c r="C66" s="130">
        <v>0</v>
      </c>
      <c r="D66" s="130">
        <v>0</v>
      </c>
      <c r="E66" s="132">
        <f t="shared" si="1"/>
        <v>0</v>
      </c>
      <c r="F66" s="13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3">
      <c r="A67" s="129" t="s">
        <v>211</v>
      </c>
      <c r="B67" s="131"/>
      <c r="C67" s="130">
        <v>0</v>
      </c>
      <c r="D67" s="130">
        <f>'Support-CDE start-up grant'!C15</f>
        <v>0</v>
      </c>
      <c r="E67" s="132">
        <f t="shared" si="1"/>
        <v>0</v>
      </c>
      <c r="F67" s="13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3">
      <c r="A68" s="129" t="s">
        <v>212</v>
      </c>
      <c r="B68" s="131"/>
      <c r="C68" s="130">
        <v>0</v>
      </c>
      <c r="D68" s="130">
        <v>0</v>
      </c>
      <c r="E68" s="132">
        <f t="shared" si="1"/>
        <v>0</v>
      </c>
      <c r="F68" s="135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3">
      <c r="A69" s="129" t="s">
        <v>213</v>
      </c>
      <c r="B69" s="131">
        <v>0</v>
      </c>
      <c r="C69" s="130">
        <v>0</v>
      </c>
      <c r="D69" s="130">
        <v>0</v>
      </c>
      <c r="E69" s="132">
        <f t="shared" si="1"/>
        <v>0</v>
      </c>
      <c r="F69" s="135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3">
      <c r="A70" s="129" t="s">
        <v>214</v>
      </c>
      <c r="B70" s="131">
        <f>3000*0</f>
        <v>0</v>
      </c>
      <c r="C70" s="130">
        <v>0</v>
      </c>
      <c r="D70" s="130">
        <f>'Support-CDE start-up grant'!C16+'Support-CDE start-up grant'!C17+'Support-CDE start-up grant'!C18</f>
        <v>0</v>
      </c>
      <c r="E70" s="132">
        <f t="shared" si="1"/>
        <v>0</v>
      </c>
      <c r="F70" s="13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3">
      <c r="A71" s="129" t="s">
        <v>215</v>
      </c>
      <c r="B71" s="131">
        <f>5000*0</f>
        <v>0</v>
      </c>
      <c r="C71" s="130">
        <v>0</v>
      </c>
      <c r="D71" s="130">
        <f>'Support-CDE start-up grant'!C19+'Support-CDE start-up grant'!C20+'Support-CDE start-up grant'!C21</f>
        <v>0</v>
      </c>
      <c r="E71" s="132">
        <f t="shared" si="1"/>
        <v>0</v>
      </c>
      <c r="F71" s="135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3">
      <c r="A72" s="129" t="s">
        <v>216</v>
      </c>
      <c r="B72" s="134">
        <f>'Page 3-Assumptions'!$B$56*'Page 1-Enrollment Plan'!B20</f>
        <v>0</v>
      </c>
      <c r="C72" s="130">
        <v>0</v>
      </c>
      <c r="D72" s="130">
        <v>0</v>
      </c>
      <c r="E72" s="132">
        <f t="shared" si="1"/>
        <v>0</v>
      </c>
      <c r="F72" s="13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3">
      <c r="A73" s="129" t="s">
        <v>217</v>
      </c>
      <c r="B73" s="130"/>
      <c r="C73" s="130">
        <v>0</v>
      </c>
      <c r="D73" s="130">
        <v>0</v>
      </c>
      <c r="E73" s="132">
        <f t="shared" si="1"/>
        <v>0</v>
      </c>
      <c r="F73" s="13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3">
      <c r="A74" s="166" t="s">
        <v>218</v>
      </c>
      <c r="B74" s="134">
        <f>(('Page 3-Assumptions'!$B$57*'Page 1-Enrollment Plan'!B20))</f>
        <v>0</v>
      </c>
      <c r="C74" s="130">
        <v>0</v>
      </c>
      <c r="D74" s="130">
        <v>0</v>
      </c>
      <c r="E74" s="132">
        <f t="shared" si="1"/>
        <v>0</v>
      </c>
      <c r="F74" s="13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3">
      <c r="A75" s="129" t="s">
        <v>219</v>
      </c>
      <c r="B75" s="147">
        <v>0</v>
      </c>
      <c r="C75" s="146">
        <v>0</v>
      </c>
      <c r="D75" s="146"/>
      <c r="E75" s="132">
        <f t="shared" si="1"/>
        <v>0</v>
      </c>
      <c r="F75" s="13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3">
      <c r="A76" s="138" t="s">
        <v>220</v>
      </c>
      <c r="B76" s="139">
        <f>SUM(B34:B75)</f>
        <v>626585.04999999993</v>
      </c>
      <c r="C76" s="139">
        <f>SUM(C34:C75)</f>
        <v>0</v>
      </c>
      <c r="D76" s="139">
        <f>SUM(D34:D75)</f>
        <v>0</v>
      </c>
      <c r="E76" s="139">
        <f>SUM(E34:E75)</f>
        <v>626585.04999999993</v>
      </c>
      <c r="F76" s="118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3">
      <c r="A77" s="171"/>
      <c r="B77" s="141"/>
      <c r="C77" s="141"/>
      <c r="D77" s="141"/>
      <c r="E77" s="142"/>
      <c r="F77" s="118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3">
      <c r="A78" s="148" t="s">
        <v>221</v>
      </c>
      <c r="B78" s="139">
        <f>B31-B76</f>
        <v>-626085.04999999993</v>
      </c>
      <c r="C78" s="139">
        <f>C31-C76</f>
        <v>1500</v>
      </c>
      <c r="D78" s="139">
        <f>D31-D76</f>
        <v>0</v>
      </c>
      <c r="E78" s="139">
        <f>SUM(B78:D78)</f>
        <v>-624585.04999999993</v>
      </c>
      <c r="F78" s="118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3">
      <c r="A79" s="149"/>
      <c r="B79" s="141"/>
      <c r="C79" s="141"/>
      <c r="D79" s="151"/>
      <c r="E79" s="142"/>
      <c r="F79" s="118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3">
      <c r="A80" s="150" t="s">
        <v>237</v>
      </c>
      <c r="B80" s="141"/>
      <c r="C80" s="141"/>
      <c r="D80" s="141"/>
      <c r="E80" s="142"/>
      <c r="F80" s="118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3">
      <c r="A81" s="136" t="s">
        <v>223</v>
      </c>
      <c r="B81" s="141">
        <v>0</v>
      </c>
      <c r="C81" s="141"/>
      <c r="D81" s="141"/>
      <c r="E81" s="142">
        <f>SUM(B81:D81)</f>
        <v>0</v>
      </c>
      <c r="F81" s="118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3">
      <c r="A82" s="149" t="s">
        <v>224</v>
      </c>
      <c r="B82" s="141">
        <f>-3%*(B31-((SUM(B15:B23))))</f>
        <v>0</v>
      </c>
      <c r="C82" s="141"/>
      <c r="D82" s="141"/>
      <c r="E82" s="142">
        <f>SUM(B82:D82)</f>
        <v>0</v>
      </c>
      <c r="F82" s="118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3">
      <c r="A83" s="138" t="s">
        <v>225</v>
      </c>
      <c r="B83" s="172">
        <f>SUM(B78:B82)</f>
        <v>-626085.04999999993</v>
      </c>
      <c r="C83" s="172">
        <f>SUM(C78:C82)</f>
        <v>1500</v>
      </c>
      <c r="D83" s="172">
        <f>SUM(D78:D82)</f>
        <v>0</v>
      </c>
      <c r="E83" s="172">
        <f>SUM(E78:E82)</f>
        <v>-624585.04999999993</v>
      </c>
      <c r="F83" s="118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3">
      <c r="A84" s="173"/>
      <c r="B84" s="174"/>
      <c r="C84" s="174"/>
      <c r="D84" s="174"/>
      <c r="E84" s="175"/>
      <c r="F84" s="118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3">
      <c r="A85" s="41" t="s">
        <v>226</v>
      </c>
      <c r="B85" s="26"/>
      <c r="C85" s="26"/>
      <c r="D85" s="26"/>
      <c r="E85" s="154">
        <f>'Page 4-Year 0'!E87</f>
        <v>0</v>
      </c>
      <c r="F85" s="118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3">
      <c r="A86" s="41" t="s">
        <v>227</v>
      </c>
      <c r="B86" s="26"/>
      <c r="C86" s="26"/>
      <c r="D86" s="26"/>
      <c r="E86" s="154">
        <f>E78+E81+E85</f>
        <v>-624585.04999999993</v>
      </c>
      <c r="F86" s="118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3">
      <c r="A87" s="155" t="s">
        <v>228</v>
      </c>
      <c r="B87" s="26"/>
      <c r="C87" s="26"/>
      <c r="D87" s="26"/>
      <c r="E87" s="151">
        <f>-E82</f>
        <v>0</v>
      </c>
      <c r="F87" s="118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3">
      <c r="A88" s="155" t="s">
        <v>229</v>
      </c>
      <c r="B88" s="26"/>
      <c r="C88" s="26"/>
      <c r="D88" s="26"/>
      <c r="E88" s="151">
        <f>E86-E87</f>
        <v>-624585.04999999993</v>
      </c>
      <c r="F88" s="118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3">
      <c r="A89" s="176" t="s">
        <v>230</v>
      </c>
      <c r="B89" s="26"/>
      <c r="C89" s="26"/>
      <c r="D89" s="26"/>
      <c r="E89" s="156">
        <f>E88/E76</f>
        <v>-0.99680809492661848</v>
      </c>
      <c r="F89" s="118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3">
      <c r="A90" s="157"/>
      <c r="B90" s="29"/>
      <c r="C90" s="29"/>
      <c r="D90" s="29"/>
      <c r="E90" s="30"/>
      <c r="F90" s="158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</sheetData>
  <mergeCells count="1">
    <mergeCell ref="B3:E3"/>
  </mergeCells>
  <printOptions horizontalCentered="1"/>
  <pageMargins left="0.22986111111111099" right="0.25" top="0.4" bottom="0.7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zoomScale="110" zoomScaleNormal="110" zoomScalePageLayoutView="110" workbookViewId="0">
      <selection activeCell="B23" sqref="B23"/>
    </sheetView>
  </sheetViews>
  <sheetFormatPr defaultColWidth="8.88671875" defaultRowHeight="13.2" x14ac:dyDescent="0.25"/>
  <cols>
    <col min="1" max="1" width="39.33203125" customWidth="1"/>
    <col min="2" max="5" width="15.88671875" customWidth="1"/>
    <col min="6" max="6" width="45.6640625" customWidth="1"/>
    <col min="7" max="26" width="8.6640625" customWidth="1"/>
    <col min="27" max="1025" width="14.44140625" customWidth="1"/>
  </cols>
  <sheetData>
    <row r="1" spans="1:26" ht="12.75" customHeight="1" x14ac:dyDescent="0.35">
      <c r="A1" s="114">
        <f>'Page 3-Assumptions'!A1</f>
        <v>0</v>
      </c>
      <c r="B1" s="115"/>
      <c r="C1" s="115"/>
      <c r="D1" s="115"/>
      <c r="E1" s="18"/>
      <c r="F1" s="116" t="s">
        <v>154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35">
      <c r="A2" s="117" t="str">
        <f>B3</f>
        <v>YEAR 2</v>
      </c>
      <c r="B2" s="26"/>
      <c r="C2" s="26"/>
      <c r="D2" s="26"/>
      <c r="E2" s="21"/>
      <c r="F2" s="11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3">
      <c r="A3" s="119"/>
      <c r="B3" s="325" t="str">
        <f>'Page 10-6 yr Budget-detail'!D4</f>
        <v>YEAR 2</v>
      </c>
      <c r="C3" s="325"/>
      <c r="D3" s="325"/>
      <c r="E3" s="325"/>
      <c r="F3" s="160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6" ht="12.75" customHeight="1" x14ac:dyDescent="0.3">
      <c r="A4" s="24"/>
      <c r="B4" s="122" t="s">
        <v>156</v>
      </c>
      <c r="C4" s="122" t="s">
        <v>157</v>
      </c>
      <c r="D4" s="122" t="s">
        <v>158</v>
      </c>
      <c r="E4" s="122" t="s">
        <v>153</v>
      </c>
      <c r="F4" s="162" t="s">
        <v>155</v>
      </c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</row>
    <row r="5" spans="1:26" ht="12.75" customHeight="1" x14ac:dyDescent="0.3">
      <c r="A5" s="124" t="s">
        <v>159</v>
      </c>
      <c r="B5" s="125"/>
      <c r="C5" s="125"/>
      <c r="D5" s="125"/>
      <c r="E5" s="163">
        <f>'Page 1-Enrollment Plan'!C20</f>
        <v>0</v>
      </c>
      <c r="F5" s="164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</row>
    <row r="6" spans="1:26" ht="12.75" customHeight="1" x14ac:dyDescent="0.3">
      <c r="A6" s="124" t="s">
        <v>160</v>
      </c>
      <c r="B6" s="125"/>
      <c r="C6" s="125"/>
      <c r="D6" s="125"/>
      <c r="E6" s="165">
        <f>'Page 1-Enrollment Plan'!C22</f>
        <v>0</v>
      </c>
      <c r="F6" s="123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</row>
    <row r="7" spans="1:26" ht="12.75" customHeight="1" x14ac:dyDescent="0.3">
      <c r="A7" s="24" t="s">
        <v>63</v>
      </c>
      <c r="B7" s="125"/>
      <c r="C7" s="125"/>
      <c r="D7" s="125"/>
      <c r="E7" s="128"/>
      <c r="F7" s="123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</row>
    <row r="8" spans="1:26" ht="12.75" customHeight="1" x14ac:dyDescent="0.3">
      <c r="A8" s="129" t="s">
        <v>161</v>
      </c>
      <c r="B8" s="130"/>
      <c r="C8" s="130"/>
      <c r="D8" s="130"/>
      <c r="E8" s="132">
        <f t="shared" ref="E8:E30" si="0">SUM(B8:D8)</f>
        <v>0</v>
      </c>
      <c r="F8" s="13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129" t="s">
        <v>162</v>
      </c>
      <c r="B9" s="130"/>
      <c r="C9" s="134">
        <v>0</v>
      </c>
      <c r="D9" s="134">
        <v>0</v>
      </c>
      <c r="E9" s="132">
        <f t="shared" si="0"/>
        <v>0</v>
      </c>
      <c r="F9" s="13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129" t="s">
        <v>163</v>
      </c>
      <c r="B10" s="134">
        <f>'Page 3-Assumptions'!D26</f>
        <v>0</v>
      </c>
      <c r="C10" s="134">
        <v>0</v>
      </c>
      <c r="D10" s="134">
        <v>0</v>
      </c>
      <c r="E10" s="132">
        <f t="shared" si="0"/>
        <v>0</v>
      </c>
      <c r="F10" s="13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129" t="s">
        <v>164</v>
      </c>
      <c r="B11" s="130"/>
      <c r="C11" s="144"/>
      <c r="D11" s="144"/>
      <c r="E11" s="132">
        <f t="shared" si="0"/>
        <v>0</v>
      </c>
      <c r="F11" s="13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">
      <c r="A12" s="129" t="s">
        <v>165</v>
      </c>
      <c r="B12" s="130"/>
      <c r="C12" s="130"/>
      <c r="D12" s="130"/>
      <c r="E12" s="132">
        <f t="shared" si="0"/>
        <v>0</v>
      </c>
      <c r="F12" s="13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">
      <c r="A13" s="129" t="s">
        <v>166</v>
      </c>
      <c r="B13" s="130">
        <f>B74</f>
        <v>0</v>
      </c>
      <c r="C13" s="144"/>
      <c r="D13" s="144"/>
      <c r="E13" s="132">
        <f t="shared" si="0"/>
        <v>0</v>
      </c>
      <c r="F13" s="135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129" t="s">
        <v>167</v>
      </c>
      <c r="B14" s="130">
        <f>100*E5*0.8</f>
        <v>0</v>
      </c>
      <c r="C14" s="144"/>
      <c r="D14" s="144"/>
      <c r="E14" s="132">
        <f t="shared" si="0"/>
        <v>0</v>
      </c>
      <c r="F14" s="13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136" t="s">
        <v>168</v>
      </c>
      <c r="B15" s="130"/>
      <c r="C15" s="144"/>
      <c r="D15" s="144"/>
      <c r="E15" s="132">
        <f t="shared" si="0"/>
        <v>0</v>
      </c>
      <c r="F15" s="13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">
      <c r="A16" s="136" t="s">
        <v>169</v>
      </c>
      <c r="B16" s="130">
        <f>E6*'Page 3-Assumptions'!D8</f>
        <v>0</v>
      </c>
      <c r="C16" s="144">
        <v>0</v>
      </c>
      <c r="D16" s="144">
        <v>0</v>
      </c>
      <c r="E16" s="132">
        <f t="shared" si="0"/>
        <v>0</v>
      </c>
      <c r="F16" s="13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3">
      <c r="A17" s="136" t="s">
        <v>170</v>
      </c>
      <c r="B17" s="130">
        <f>'Page 3-Assumptions'!D9</f>
        <v>0</v>
      </c>
      <c r="C17" s="144">
        <v>0</v>
      </c>
      <c r="D17" s="144">
        <v>0</v>
      </c>
      <c r="E17" s="132">
        <f t="shared" si="0"/>
        <v>0</v>
      </c>
      <c r="F17" s="13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3">
      <c r="A18" s="129" t="s">
        <v>84</v>
      </c>
      <c r="B18" s="130"/>
      <c r="C18" s="134">
        <f>'Page 3-Assumptions'!$D$11</f>
        <v>0</v>
      </c>
      <c r="D18" s="144">
        <v>0</v>
      </c>
      <c r="E18" s="132">
        <f t="shared" si="0"/>
        <v>0</v>
      </c>
      <c r="F18" s="13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3">
      <c r="A19" s="129" t="s">
        <v>90</v>
      </c>
      <c r="B19" s="134">
        <f>'Page 3-Assumptions'!D14</f>
        <v>500</v>
      </c>
      <c r="C19" s="134">
        <v>0</v>
      </c>
      <c r="D19" s="134">
        <v>0</v>
      </c>
      <c r="E19" s="132">
        <f t="shared" si="0"/>
        <v>500</v>
      </c>
      <c r="F19" s="13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3">
      <c r="A20" s="129" t="s">
        <v>172</v>
      </c>
      <c r="B20" s="131"/>
      <c r="C20" s="130"/>
      <c r="D20" s="130"/>
      <c r="E20" s="132">
        <f t="shared" si="0"/>
        <v>0</v>
      </c>
      <c r="F20" s="13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3">
      <c r="A21" s="129" t="s">
        <v>94</v>
      </c>
      <c r="B21" s="131">
        <f>'Page 3-Assumptions'!D16</f>
        <v>0</v>
      </c>
      <c r="C21" s="134">
        <v>0</v>
      </c>
      <c r="D21" s="134">
        <v>0</v>
      </c>
      <c r="E21" s="132">
        <f t="shared" si="0"/>
        <v>0</v>
      </c>
      <c r="F21" s="13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">
      <c r="A22" s="129" t="s">
        <v>311</v>
      </c>
      <c r="B22" s="131">
        <f>'Page 3-Assumptions'!D18</f>
        <v>0</v>
      </c>
      <c r="C22" s="134">
        <v>0</v>
      </c>
      <c r="D22" s="134">
        <v>0</v>
      </c>
      <c r="E22" s="132"/>
      <c r="F22" s="13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A23" s="129" t="s">
        <v>99</v>
      </c>
      <c r="B23" s="131"/>
      <c r="C23" s="134">
        <f>'Page 3-Assumptions'!$D$19</f>
        <v>0</v>
      </c>
      <c r="D23" s="144">
        <v>0</v>
      </c>
      <c r="E23" s="132">
        <f t="shared" si="0"/>
        <v>0</v>
      </c>
      <c r="F23" s="13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3">
      <c r="A24" s="129" t="s">
        <v>173</v>
      </c>
      <c r="B24" s="131"/>
      <c r="C24" s="134">
        <f>'Page 3-Assumptions'!$D$20</f>
        <v>0</v>
      </c>
      <c r="D24" s="144">
        <v>0</v>
      </c>
      <c r="E24" s="132">
        <f t="shared" si="0"/>
        <v>0</v>
      </c>
      <c r="F24" s="13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3">
      <c r="A25" s="129" t="s">
        <v>103</v>
      </c>
      <c r="B25" s="131"/>
      <c r="C25" s="134">
        <f>'Page 3-Assumptions'!$D21</f>
        <v>0</v>
      </c>
      <c r="D25" s="144">
        <v>0</v>
      </c>
      <c r="E25" s="132">
        <f t="shared" si="0"/>
        <v>0</v>
      </c>
      <c r="F25" s="13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129" t="s">
        <v>303</v>
      </c>
      <c r="B26" s="131">
        <v>0</v>
      </c>
      <c r="C26" s="134">
        <f>'Page 3-Assumptions'!$D22</f>
        <v>1500</v>
      </c>
      <c r="D26" s="144">
        <v>0</v>
      </c>
      <c r="E26" s="132">
        <f t="shared" si="0"/>
        <v>1500</v>
      </c>
      <c r="F26" s="13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129" t="s">
        <v>174</v>
      </c>
      <c r="B27" s="131"/>
      <c r="C27" s="130"/>
      <c r="D27" s="130"/>
      <c r="E27" s="132">
        <f t="shared" si="0"/>
        <v>0</v>
      </c>
      <c r="F27" s="13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3">
      <c r="A28" s="129" t="s">
        <v>175</v>
      </c>
      <c r="B28" s="131"/>
      <c r="C28" s="144">
        <v>0</v>
      </c>
      <c r="D28" s="130">
        <f>'Support-CDE start-up grant'!D4</f>
        <v>0</v>
      </c>
      <c r="E28" s="132">
        <f t="shared" si="0"/>
        <v>0</v>
      </c>
      <c r="F28" s="13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3">
      <c r="A29" s="129" t="s">
        <v>67</v>
      </c>
      <c r="B29" s="137">
        <f>E6*'Page 3-Assumptions'!D5</f>
        <v>0</v>
      </c>
      <c r="C29" s="177">
        <v>0</v>
      </c>
      <c r="D29" s="177">
        <v>0</v>
      </c>
      <c r="E29" s="132">
        <f t="shared" si="0"/>
        <v>0</v>
      </c>
      <c r="F29" s="135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3">
      <c r="A30" s="129" t="s">
        <v>176</v>
      </c>
      <c r="B30" s="137">
        <f>'Page 3-Assumptions'!D6</f>
        <v>0</v>
      </c>
      <c r="C30" s="137">
        <v>0</v>
      </c>
      <c r="D30" s="137">
        <v>0</v>
      </c>
      <c r="E30" s="132">
        <f t="shared" si="0"/>
        <v>0</v>
      </c>
      <c r="F30" s="13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3">
      <c r="A31" s="178" t="s">
        <v>177</v>
      </c>
      <c r="B31" s="139">
        <f>SUM(B8:B30)</f>
        <v>500</v>
      </c>
      <c r="C31" s="139">
        <f>SUM(C8:C30)</f>
        <v>1500</v>
      </c>
      <c r="D31" s="139">
        <f>SUM(D8:D30)</f>
        <v>0</v>
      </c>
      <c r="E31" s="139">
        <f>SUM(E8:E30)</f>
        <v>2000</v>
      </c>
      <c r="F31" s="13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3">
      <c r="A32" s="179"/>
      <c r="B32" s="141"/>
      <c r="C32" s="141"/>
      <c r="D32" s="141"/>
      <c r="E32" s="142"/>
      <c r="F32" s="13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3">
      <c r="A33" s="180" t="s">
        <v>112</v>
      </c>
      <c r="B33" s="141"/>
      <c r="C33" s="141"/>
      <c r="D33" s="141"/>
      <c r="E33" s="142"/>
      <c r="F33" s="13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3">
      <c r="A34" s="129" t="s">
        <v>178</v>
      </c>
      <c r="B34" s="134">
        <f>'Page 2-Staffing Plan'!D32</f>
        <v>731400</v>
      </c>
      <c r="C34" s="130">
        <v>0</v>
      </c>
      <c r="D34" s="130">
        <v>0</v>
      </c>
      <c r="E34" s="132">
        <f t="shared" ref="E34:E75" si="1">SUM(B34:D34)</f>
        <v>731400</v>
      </c>
      <c r="F34" s="13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3">
      <c r="A35" s="129" t="s">
        <v>179</v>
      </c>
      <c r="B35" s="134">
        <f>('Page 3-Assumptions'!B40*'Page 3-Assumptions'!B41)*('Page 2-Staffing Plan'!D15)</f>
        <v>0</v>
      </c>
      <c r="C35" s="130"/>
      <c r="D35" s="130"/>
      <c r="E35" s="132">
        <f t="shared" si="1"/>
        <v>0</v>
      </c>
      <c r="F35" s="13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3">
      <c r="A36" s="129" t="s">
        <v>180</v>
      </c>
      <c r="B36" s="134">
        <f>(B34+B35)*1.45%</f>
        <v>10605.3</v>
      </c>
      <c r="C36" s="130"/>
      <c r="D36" s="130"/>
      <c r="E36" s="132">
        <f t="shared" si="1"/>
        <v>10605.3</v>
      </c>
      <c r="F36" s="13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">
      <c r="A37" s="129" t="s">
        <v>181</v>
      </c>
      <c r="B37" s="134">
        <f>'Page 5-Year 1'!B37</f>
        <v>0</v>
      </c>
      <c r="C37" s="130"/>
      <c r="D37" s="130"/>
      <c r="E37" s="132">
        <f t="shared" si="1"/>
        <v>0</v>
      </c>
      <c r="F37" s="13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3">
      <c r="A38" s="129" t="s">
        <v>182</v>
      </c>
      <c r="B38" s="134">
        <f>((E34+E35)*'Page 3-Assumptions'!D32)-C38</f>
        <v>151034.1</v>
      </c>
      <c r="C38" s="169"/>
      <c r="D38" s="130"/>
      <c r="E38" s="132">
        <f t="shared" si="1"/>
        <v>151034.1</v>
      </c>
      <c r="F38" s="135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">
      <c r="A39" s="129" t="s">
        <v>183</v>
      </c>
      <c r="B39" s="134">
        <f>('Page 3-Assumptions'!B42*1.05^2)*'Page 2-Staffing Plan'!D37</f>
        <v>0</v>
      </c>
      <c r="C39" s="130"/>
      <c r="D39" s="130"/>
      <c r="E39" s="132">
        <f t="shared" si="1"/>
        <v>0</v>
      </c>
      <c r="F39" s="13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3">
      <c r="A40" s="129" t="s">
        <v>184</v>
      </c>
      <c r="B40" s="134">
        <f>('Page 3-Assumptions'!B43*1.02^1)*'Page 2-Staffing Plan'!D37</f>
        <v>0</v>
      </c>
      <c r="C40" s="130"/>
      <c r="D40" s="130"/>
      <c r="E40" s="132">
        <f t="shared" si="1"/>
        <v>0</v>
      </c>
      <c r="F40" s="13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3">
      <c r="A41" s="129" t="s">
        <v>185</v>
      </c>
      <c r="B41" s="134">
        <f>'Page 5-Year 1'!B41</f>
        <v>0</v>
      </c>
      <c r="C41" s="130"/>
      <c r="D41" s="130"/>
      <c r="E41" s="132">
        <f t="shared" si="1"/>
        <v>0</v>
      </c>
      <c r="F41" s="13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">
      <c r="A42" s="129" t="s">
        <v>186</v>
      </c>
      <c r="B42" s="134">
        <f>'Page 5-Year 1'!B42</f>
        <v>0</v>
      </c>
      <c r="C42" s="131"/>
      <c r="D42" s="130"/>
      <c r="E42" s="132">
        <f t="shared" si="1"/>
        <v>0</v>
      </c>
      <c r="F42" s="13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3">
      <c r="A43" s="129" t="s">
        <v>187</v>
      </c>
      <c r="B43" s="134">
        <f>('Page 3-Assumptions'!$B$46*'Page 2-Staffing Plan'!$D$37)</f>
        <v>0</v>
      </c>
      <c r="C43" s="130"/>
      <c r="D43" s="130"/>
      <c r="E43" s="132">
        <f t="shared" si="1"/>
        <v>0</v>
      </c>
      <c r="F43" s="13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3">
      <c r="A44" s="129" t="s">
        <v>188</v>
      </c>
      <c r="B44" s="134">
        <f>'Page 5-Year 1'!B44</f>
        <v>0</v>
      </c>
      <c r="C44" s="130"/>
      <c r="D44" s="130"/>
      <c r="E44" s="132">
        <f t="shared" si="1"/>
        <v>0</v>
      </c>
      <c r="F44" s="13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3">
      <c r="A45" s="129" t="s">
        <v>189</v>
      </c>
      <c r="B45" s="134">
        <f>E5*'Page 3-Assumptions'!$B$47</f>
        <v>0</v>
      </c>
      <c r="C45" s="130"/>
      <c r="D45" s="130"/>
      <c r="E45" s="132">
        <f t="shared" si="1"/>
        <v>0</v>
      </c>
      <c r="F45" s="13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3">
      <c r="A46" s="129" t="s">
        <v>190</v>
      </c>
      <c r="B46" s="130">
        <f>'Page 5-Year 1'!B46*1.05</f>
        <v>0</v>
      </c>
      <c r="C46" s="130"/>
      <c r="D46" s="130">
        <f>'Support-CDE start-up grant'!D11</f>
        <v>0</v>
      </c>
      <c r="E46" s="132">
        <f t="shared" si="1"/>
        <v>0</v>
      </c>
      <c r="F46" s="135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3">
      <c r="A47" s="129" t="s">
        <v>191</v>
      </c>
      <c r="B47" s="130">
        <v>0</v>
      </c>
      <c r="C47" s="130"/>
      <c r="D47" s="130">
        <f>'Support-CDE start-up grant'!D10</f>
        <v>0</v>
      </c>
      <c r="E47" s="132">
        <f t="shared" si="1"/>
        <v>0</v>
      </c>
      <c r="F47" s="13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3">
      <c r="A48" s="129" t="s">
        <v>192</v>
      </c>
      <c r="B48" s="130">
        <v>0</v>
      </c>
      <c r="C48" s="130">
        <f>SUM(C17:C25)</f>
        <v>0</v>
      </c>
      <c r="D48" s="130" t="s">
        <v>26</v>
      </c>
      <c r="E48" s="132">
        <f t="shared" si="1"/>
        <v>0</v>
      </c>
      <c r="F48" s="135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3">
      <c r="A49" s="129" t="s">
        <v>193</v>
      </c>
      <c r="B49" s="130">
        <f>'Page 5-Year 1'!B49*1.05</f>
        <v>0</v>
      </c>
      <c r="C49" s="130"/>
      <c r="D49" s="130">
        <f>'Support-CDE start-up grant'!D12</f>
        <v>0</v>
      </c>
      <c r="E49" s="132">
        <f t="shared" si="1"/>
        <v>0</v>
      </c>
      <c r="F49" s="13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3">
      <c r="A50" s="129" t="s">
        <v>194</v>
      </c>
      <c r="B50" s="130">
        <f>'Page 5-Year 1'!B50*1.05</f>
        <v>0</v>
      </c>
      <c r="C50" s="131"/>
      <c r="D50" s="130"/>
      <c r="E50" s="132">
        <f t="shared" si="1"/>
        <v>0</v>
      </c>
      <c r="F50" s="135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3">
      <c r="A51" s="129" t="s">
        <v>195</v>
      </c>
      <c r="B51" s="130">
        <f>'Page 5-Year 1'!B51*1.05</f>
        <v>0</v>
      </c>
      <c r="C51" s="130"/>
      <c r="D51" s="130"/>
      <c r="E51" s="132">
        <f t="shared" si="1"/>
        <v>0</v>
      </c>
      <c r="F51" s="13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3">
      <c r="A52" s="129" t="s">
        <v>196</v>
      </c>
      <c r="B52" s="130">
        <f>'Page 5-Year 1'!B52*1.05</f>
        <v>0</v>
      </c>
      <c r="C52" s="130"/>
      <c r="D52" s="130"/>
      <c r="E52" s="132">
        <f t="shared" si="1"/>
        <v>0</v>
      </c>
      <c r="F52" s="135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3">
      <c r="A53" s="129" t="s">
        <v>197</v>
      </c>
      <c r="B53" s="134">
        <f>(SUM('Page 1-Enrollment Plan'!C7:C17))*'Page 3-Assumptions'!$B$48</f>
        <v>0</v>
      </c>
      <c r="C53" s="130"/>
      <c r="D53" s="130"/>
      <c r="E53" s="132">
        <f t="shared" si="1"/>
        <v>0</v>
      </c>
      <c r="F53" s="13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3">
      <c r="A54" s="129" t="s">
        <v>198</v>
      </c>
      <c r="B54" s="134">
        <f>('Page 3-Assumptions'!$B$49+'Page 3-Assumptions'!$B$50)*'Page 1-Enrollment Plan'!C20</f>
        <v>0</v>
      </c>
      <c r="C54" s="130"/>
      <c r="D54" s="130"/>
      <c r="E54" s="132">
        <f t="shared" si="1"/>
        <v>0</v>
      </c>
      <c r="F54" s="13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3">
      <c r="A55" s="129" t="s">
        <v>199</v>
      </c>
      <c r="B55" s="134">
        <f>'Page 3-Assumptions'!D36</f>
        <v>0</v>
      </c>
      <c r="C55" s="130"/>
      <c r="D55" s="130"/>
      <c r="E55" s="132">
        <f t="shared" si="1"/>
        <v>0</v>
      </c>
      <c r="F55" s="13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3">
      <c r="A56" s="129" t="s">
        <v>200</v>
      </c>
      <c r="B56" s="134">
        <f>'Page 3-Assumptions'!$D$35*(E34+E35)</f>
        <v>2194.2000000000003</v>
      </c>
      <c r="C56" s="130"/>
      <c r="D56" s="130"/>
      <c r="E56" s="132">
        <f t="shared" si="1"/>
        <v>2194.2000000000003</v>
      </c>
      <c r="F56" s="13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3">
      <c r="A57" s="129" t="s">
        <v>201</v>
      </c>
      <c r="B57" s="134">
        <f>((E34+E35)/100)*2</f>
        <v>14628</v>
      </c>
      <c r="C57" s="130"/>
      <c r="D57" s="130"/>
      <c r="E57" s="132">
        <f t="shared" si="1"/>
        <v>14628</v>
      </c>
      <c r="F57" s="13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3">
      <c r="A58" s="129" t="s">
        <v>202</v>
      </c>
      <c r="B58" s="130">
        <f>'Page 5-Year 1'!B58*1.05</f>
        <v>0</v>
      </c>
      <c r="C58" s="130"/>
      <c r="D58" s="130"/>
      <c r="E58" s="132">
        <f t="shared" si="1"/>
        <v>0</v>
      </c>
      <c r="F58" s="13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3">
      <c r="A59" s="129" t="s">
        <v>203</v>
      </c>
      <c r="B59" s="134">
        <f>'Page 3-Assumptions'!$B$51*'Page 1-Enrollment Plan'!$C$20</f>
        <v>0</v>
      </c>
      <c r="C59" s="130"/>
      <c r="D59" s="130"/>
      <c r="E59" s="132">
        <f t="shared" si="1"/>
        <v>0</v>
      </c>
      <c r="F59" s="13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3">
      <c r="A60" s="129" t="s">
        <v>204</v>
      </c>
      <c r="B60" s="134">
        <f>E5*'Page 3-Assumptions'!$B$52</f>
        <v>0</v>
      </c>
      <c r="C60" s="130"/>
      <c r="D60" s="130">
        <f>'Support-CDE start-up grant'!D13</f>
        <v>0</v>
      </c>
      <c r="E60" s="132">
        <f t="shared" si="1"/>
        <v>0</v>
      </c>
      <c r="F60" s="13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3">
      <c r="A61" s="129" t="s">
        <v>205</v>
      </c>
      <c r="B61" s="134">
        <f>'Page 2-Staffing Plan'!D37*'Page 3-Assumptions'!$B$45*0</f>
        <v>0</v>
      </c>
      <c r="C61" s="130"/>
      <c r="D61" s="181">
        <f>'Support-CDE start-up grant'!D14</f>
        <v>0</v>
      </c>
      <c r="E61" s="132">
        <f t="shared" si="1"/>
        <v>0</v>
      </c>
      <c r="F61" s="135" t="s">
        <v>26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3">
      <c r="A62" s="129" t="s">
        <v>206</v>
      </c>
      <c r="B62" s="134">
        <f>E29*'Page 3-Assumptions'!D30</f>
        <v>0</v>
      </c>
      <c r="C62" s="130"/>
      <c r="D62" s="130"/>
      <c r="E62" s="132">
        <f t="shared" si="1"/>
        <v>0</v>
      </c>
      <c r="F62" s="13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3">
      <c r="A63" s="129" t="s">
        <v>207</v>
      </c>
      <c r="B63" s="134">
        <f>B29*'Page 3-Assumptions'!D31</f>
        <v>0</v>
      </c>
      <c r="C63" s="130"/>
      <c r="D63" s="130"/>
      <c r="E63" s="132">
        <f t="shared" si="1"/>
        <v>0</v>
      </c>
      <c r="F63" s="13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3">
      <c r="A64" s="129" t="s">
        <v>208</v>
      </c>
      <c r="B64" s="134">
        <f>'Page 3-Assumptions'!$B$53*'Page 1-Enrollment Plan'!$C$20</f>
        <v>0</v>
      </c>
      <c r="C64" s="130"/>
      <c r="D64" s="130"/>
      <c r="E64" s="132">
        <f t="shared" si="1"/>
        <v>0</v>
      </c>
      <c r="F64" s="13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3">
      <c r="A65" s="129" t="s">
        <v>209</v>
      </c>
      <c r="B65" s="134">
        <f>E5*'Page 3-Assumptions'!$B$54</f>
        <v>0</v>
      </c>
      <c r="C65" s="130"/>
      <c r="D65" s="130"/>
      <c r="E65" s="132">
        <f t="shared" si="1"/>
        <v>0</v>
      </c>
      <c r="F65" s="13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3">
      <c r="A66" s="129" t="s">
        <v>210</v>
      </c>
      <c r="B66" s="134">
        <f>E5*'Page 3-Assumptions'!$B$55</f>
        <v>0</v>
      </c>
      <c r="C66" s="130"/>
      <c r="D66" s="130"/>
      <c r="E66" s="132">
        <f t="shared" si="1"/>
        <v>0</v>
      </c>
      <c r="F66" s="13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3">
      <c r="A67" s="129" t="s">
        <v>211</v>
      </c>
      <c r="B67" s="131"/>
      <c r="C67" s="130"/>
      <c r="D67" s="130">
        <f>'Support-CDE start-up grant'!D15</f>
        <v>0</v>
      </c>
      <c r="E67" s="132">
        <f t="shared" si="1"/>
        <v>0</v>
      </c>
      <c r="F67" s="13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3">
      <c r="A68" s="129" t="s">
        <v>212</v>
      </c>
      <c r="B68" s="131">
        <f>'Page 5-Year 1'!B68*1.05</f>
        <v>0</v>
      </c>
      <c r="C68" s="130"/>
      <c r="D68" s="130"/>
      <c r="E68" s="132">
        <f t="shared" si="1"/>
        <v>0</v>
      </c>
      <c r="F68" s="135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3">
      <c r="A69" s="129" t="s">
        <v>213</v>
      </c>
      <c r="B69" s="131">
        <f>'Page 5-Year 1'!B69</f>
        <v>0</v>
      </c>
      <c r="C69" s="130"/>
      <c r="D69" s="130"/>
      <c r="E69" s="132">
        <f t="shared" si="1"/>
        <v>0</v>
      </c>
      <c r="F69" s="135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3">
      <c r="A70" s="129" t="s">
        <v>214</v>
      </c>
      <c r="B70" s="131">
        <f>'Page 5-Year 1'!B70*1.043</f>
        <v>0</v>
      </c>
      <c r="C70" s="130"/>
      <c r="D70" s="130">
        <f>'Support-CDE start-up grant'!D16+'Support-CDE start-up grant'!D17+'Support-CDE start-up grant'!D18</f>
        <v>0</v>
      </c>
      <c r="E70" s="132">
        <f t="shared" si="1"/>
        <v>0</v>
      </c>
      <c r="F70" s="13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3">
      <c r="A71" s="129" t="s">
        <v>215</v>
      </c>
      <c r="B71" s="131">
        <f>'Page 5-Year 1'!B71*1.043</f>
        <v>0</v>
      </c>
      <c r="C71" s="130"/>
      <c r="D71" s="130">
        <f>'Support-CDE start-up grant'!D19+'Support-CDE start-up grant'!D20+'Support-CDE start-up grant'!D21</f>
        <v>0</v>
      </c>
      <c r="E71" s="132">
        <f t="shared" si="1"/>
        <v>0</v>
      </c>
      <c r="F71" s="135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3">
      <c r="A72" s="129" t="s">
        <v>216</v>
      </c>
      <c r="B72" s="134">
        <f>'Page 3-Assumptions'!$B$56*'Page 1-Enrollment Plan'!C20</f>
        <v>0</v>
      </c>
      <c r="C72" s="130"/>
      <c r="D72" s="130"/>
      <c r="E72" s="132">
        <f t="shared" si="1"/>
        <v>0</v>
      </c>
      <c r="F72" s="13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3">
      <c r="A73" s="129" t="s">
        <v>217</v>
      </c>
      <c r="B73" s="130"/>
      <c r="C73" s="130"/>
      <c r="D73" s="130"/>
      <c r="E73" s="132">
        <f t="shared" si="1"/>
        <v>0</v>
      </c>
      <c r="F73" s="13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3">
      <c r="A74" s="129" t="s">
        <v>218</v>
      </c>
      <c r="B74" s="134">
        <f>('Page 3-Assumptions'!$B$57*'Page 1-Enrollment Plan'!C20)</f>
        <v>0</v>
      </c>
      <c r="C74" s="130"/>
      <c r="D74" s="130"/>
      <c r="E74" s="132">
        <f t="shared" si="1"/>
        <v>0</v>
      </c>
      <c r="F74" s="13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3">
      <c r="A75" s="129" t="s">
        <v>219</v>
      </c>
      <c r="B75" s="146">
        <v>0</v>
      </c>
      <c r="C75" s="146"/>
      <c r="D75" s="146"/>
      <c r="E75" s="132">
        <f t="shared" si="1"/>
        <v>0</v>
      </c>
      <c r="F75" s="13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3">
      <c r="A76" s="138" t="s">
        <v>220</v>
      </c>
      <c r="B76" s="139">
        <f>SUM(B34:B75)</f>
        <v>909861.6</v>
      </c>
      <c r="C76" s="139">
        <f>SUM(C34:C75)</f>
        <v>0</v>
      </c>
      <c r="D76" s="139">
        <f>SUM(D34:D75)</f>
        <v>0</v>
      </c>
      <c r="E76" s="139">
        <f>SUM(E34:E75)</f>
        <v>909861.6</v>
      </c>
      <c r="F76" s="13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3">
      <c r="A77" s="150"/>
      <c r="B77" s="141"/>
      <c r="C77" s="141"/>
      <c r="D77" s="141"/>
      <c r="E77" s="142"/>
      <c r="F77" s="13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3">
      <c r="A78" s="148" t="s">
        <v>221</v>
      </c>
      <c r="B78" s="139">
        <f>B31-B76</f>
        <v>-909361.6</v>
      </c>
      <c r="C78" s="139">
        <f>C31-C76</f>
        <v>1500</v>
      </c>
      <c r="D78" s="139">
        <f>D31-D76</f>
        <v>0</v>
      </c>
      <c r="E78" s="139">
        <f>E31-E76</f>
        <v>-907861.6</v>
      </c>
      <c r="F78" s="13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3">
      <c r="A79" s="149"/>
      <c r="B79" s="141"/>
      <c r="C79" s="141"/>
      <c r="D79" s="141"/>
      <c r="E79" s="142"/>
      <c r="F79" s="13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3">
      <c r="A80" s="150" t="s">
        <v>237</v>
      </c>
      <c r="B80" s="141"/>
      <c r="C80" s="141"/>
      <c r="D80" s="151"/>
      <c r="E80" s="142"/>
      <c r="F80" s="13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3">
      <c r="A81" s="136" t="s">
        <v>223</v>
      </c>
      <c r="B81" s="141">
        <v>0</v>
      </c>
      <c r="C81" s="141"/>
      <c r="D81" s="151"/>
      <c r="E81" s="142">
        <f>B81+C81+D81</f>
        <v>0</v>
      </c>
      <c r="F81" s="135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3">
      <c r="A82" s="41" t="s">
        <v>238</v>
      </c>
      <c r="B82" s="182">
        <f>-(3%*(B31-((SUM(B15:B23)))))-'Page 5-Year 1'!B82</f>
        <v>0</v>
      </c>
      <c r="C82" s="141"/>
      <c r="D82" s="141"/>
      <c r="E82" s="142">
        <f>SUM(B82:D82)</f>
        <v>0</v>
      </c>
      <c r="F82" s="13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3">
      <c r="A83" s="178" t="s">
        <v>225</v>
      </c>
      <c r="B83" s="172">
        <f>SUM(B78:B82)</f>
        <v>-909361.6</v>
      </c>
      <c r="C83" s="172">
        <f>SUM(C78:C82)</f>
        <v>1500</v>
      </c>
      <c r="D83" s="172">
        <f>SUM(D78:D82)</f>
        <v>0</v>
      </c>
      <c r="E83" s="172">
        <f>E78-E82</f>
        <v>-907861.6</v>
      </c>
      <c r="F83" s="13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3">
      <c r="A84" s="173"/>
      <c r="B84" s="174"/>
      <c r="C84" s="174"/>
      <c r="D84" s="174"/>
      <c r="E84" s="175"/>
      <c r="F84" s="118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3">
      <c r="A85" s="41" t="s">
        <v>226</v>
      </c>
      <c r="B85" s="26"/>
      <c r="C85" s="26"/>
      <c r="D85" s="26"/>
      <c r="E85" s="154">
        <f>'Page 5-Year 1'!E86</f>
        <v>-624585.04999999993</v>
      </c>
      <c r="F85" s="118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3">
      <c r="A86" s="41" t="s">
        <v>227</v>
      </c>
      <c r="B86" s="26"/>
      <c r="C86" s="26"/>
      <c r="D86" s="26"/>
      <c r="E86" s="154">
        <f>E78+E81+E85</f>
        <v>-1532446.65</v>
      </c>
      <c r="F86" s="118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3">
      <c r="A87" s="155" t="s">
        <v>228</v>
      </c>
      <c r="B87" s="26"/>
      <c r="C87" s="26"/>
      <c r="D87" s="26"/>
      <c r="E87" s="151">
        <f>'Page 5-Year 1'!E87-'Page 6-Year 2'!E82</f>
        <v>0</v>
      </c>
      <c r="F87" s="118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3">
      <c r="A88" s="155" t="s">
        <v>229</v>
      </c>
      <c r="B88" s="26"/>
      <c r="C88" s="26"/>
      <c r="D88" s="26"/>
      <c r="E88" s="151">
        <f>E86-E87</f>
        <v>-1532446.65</v>
      </c>
      <c r="F88" s="118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3">
      <c r="A89" s="176" t="s">
        <v>230</v>
      </c>
      <c r="B89" s="26"/>
      <c r="C89" s="26"/>
      <c r="D89" s="26"/>
      <c r="E89" s="156">
        <f>E88/E76</f>
        <v>-1.6842634638059237</v>
      </c>
      <c r="F89" s="118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3">
      <c r="A90" s="157"/>
      <c r="B90" s="29"/>
      <c r="C90" s="29"/>
      <c r="D90" s="29"/>
      <c r="E90" s="30"/>
      <c r="F90" s="158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</sheetData>
  <mergeCells count="1">
    <mergeCell ref="B3:E3"/>
  </mergeCells>
  <printOptions horizontalCentered="1"/>
  <pageMargins left="0.25" right="0.25" top="0.4" bottom="0.69027777777777799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zoomScale="110" zoomScaleNormal="110" zoomScalePageLayoutView="110" workbookViewId="0">
      <selection activeCell="B23" sqref="B23"/>
    </sheetView>
  </sheetViews>
  <sheetFormatPr defaultColWidth="8.88671875" defaultRowHeight="13.2" x14ac:dyDescent="0.25"/>
  <cols>
    <col min="1" max="1" width="40.6640625" customWidth="1"/>
    <col min="2" max="5" width="15.88671875" customWidth="1"/>
    <col min="6" max="6" width="45.88671875" customWidth="1"/>
    <col min="7" max="26" width="8.6640625" customWidth="1"/>
    <col min="27" max="1025" width="14.44140625" customWidth="1"/>
  </cols>
  <sheetData>
    <row r="1" spans="1:26" ht="12.75" customHeight="1" x14ac:dyDescent="0.35">
      <c r="A1" s="114">
        <f>'Page 3-Assumptions'!A1</f>
        <v>0</v>
      </c>
      <c r="B1" s="115"/>
      <c r="C1" s="115"/>
      <c r="D1" s="115"/>
      <c r="E1" s="18"/>
      <c r="F1" s="116" t="s">
        <v>154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35">
      <c r="A2" s="117" t="str">
        <f>B3</f>
        <v>YEAR 3</v>
      </c>
      <c r="B2" s="26"/>
      <c r="C2" s="26"/>
      <c r="D2" s="26"/>
      <c r="E2" s="21"/>
      <c r="F2" s="11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3">
      <c r="A3" s="119"/>
      <c r="B3" s="325" t="str">
        <f>'Page 10-6 yr Budget-detail'!E4</f>
        <v>YEAR 3</v>
      </c>
      <c r="C3" s="325"/>
      <c r="D3" s="325"/>
      <c r="E3" s="325"/>
      <c r="F3" s="160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6" ht="12.75" customHeight="1" x14ac:dyDescent="0.3">
      <c r="A4" s="24"/>
      <c r="B4" s="122" t="s">
        <v>156</v>
      </c>
      <c r="C4" s="122" t="s">
        <v>157</v>
      </c>
      <c r="D4" s="122" t="s">
        <v>158</v>
      </c>
      <c r="E4" s="183" t="s">
        <v>153</v>
      </c>
      <c r="F4" s="162" t="s">
        <v>155</v>
      </c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</row>
    <row r="5" spans="1:26" ht="12.75" customHeight="1" x14ac:dyDescent="0.3">
      <c r="A5" s="124" t="s">
        <v>159</v>
      </c>
      <c r="B5" s="125"/>
      <c r="C5" s="125"/>
      <c r="D5" s="125"/>
      <c r="E5" s="184">
        <f>'Page 1-Enrollment Plan'!D20</f>
        <v>0</v>
      </c>
      <c r="F5" s="164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</row>
    <row r="6" spans="1:26" ht="12.75" customHeight="1" x14ac:dyDescent="0.3">
      <c r="A6" s="124" t="s">
        <v>160</v>
      </c>
      <c r="B6" s="125"/>
      <c r="C6" s="125"/>
      <c r="D6" s="125"/>
      <c r="E6" s="185">
        <f>'Page 1-Enrollment Plan'!D22</f>
        <v>0</v>
      </c>
      <c r="F6" s="123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</row>
    <row r="7" spans="1:26" ht="12.75" customHeight="1" x14ac:dyDescent="0.3">
      <c r="A7" s="24" t="s">
        <v>63</v>
      </c>
      <c r="B7" s="125"/>
      <c r="C7" s="125"/>
      <c r="D7" s="125"/>
      <c r="E7" s="186"/>
      <c r="F7" s="123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</row>
    <row r="8" spans="1:26" ht="12.75" customHeight="1" x14ac:dyDescent="0.3">
      <c r="A8" s="129" t="s">
        <v>161</v>
      </c>
      <c r="B8" s="131"/>
      <c r="C8" s="131"/>
      <c r="D8" s="131"/>
      <c r="E8" s="139">
        <f t="shared" ref="E8:E30" si="0">SUM(B8:D8)</f>
        <v>0</v>
      </c>
      <c r="F8" s="13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129" t="s">
        <v>162</v>
      </c>
      <c r="B9" s="131"/>
      <c r="C9" s="134">
        <v>0</v>
      </c>
      <c r="D9" s="134">
        <v>0</v>
      </c>
      <c r="E9" s="132">
        <f t="shared" si="0"/>
        <v>0</v>
      </c>
      <c r="F9" s="13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129" t="s">
        <v>163</v>
      </c>
      <c r="B10" s="134">
        <f>'Page 3-Assumptions'!E26</f>
        <v>0</v>
      </c>
      <c r="C10" s="134">
        <v>0</v>
      </c>
      <c r="D10" s="134">
        <v>0</v>
      </c>
      <c r="E10" s="139">
        <f t="shared" si="0"/>
        <v>0</v>
      </c>
      <c r="F10" s="13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129" t="s">
        <v>164</v>
      </c>
      <c r="B11" s="131"/>
      <c r="C11" s="130"/>
      <c r="D11" s="130"/>
      <c r="E11" s="139">
        <f t="shared" si="0"/>
        <v>0</v>
      </c>
      <c r="F11" s="13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">
      <c r="A12" s="129" t="s">
        <v>165</v>
      </c>
      <c r="B12" s="131"/>
      <c r="C12" s="130"/>
      <c r="D12" s="130"/>
      <c r="E12" s="139">
        <f t="shared" si="0"/>
        <v>0</v>
      </c>
      <c r="F12" s="13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">
      <c r="A13" s="129" t="s">
        <v>166</v>
      </c>
      <c r="B13" s="131">
        <f>B74</f>
        <v>0</v>
      </c>
      <c r="C13" s="130"/>
      <c r="D13" s="130"/>
      <c r="E13" s="139">
        <f t="shared" si="0"/>
        <v>0</v>
      </c>
      <c r="F13" s="135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129" t="s">
        <v>167</v>
      </c>
      <c r="B14" s="131">
        <f>100*E5*0.8</f>
        <v>0</v>
      </c>
      <c r="C14" s="130"/>
      <c r="D14" s="130"/>
      <c r="E14" s="139">
        <f t="shared" si="0"/>
        <v>0</v>
      </c>
      <c r="F14" s="13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136" t="s">
        <v>168</v>
      </c>
      <c r="B15" s="131"/>
      <c r="C15" s="130"/>
      <c r="D15" s="130"/>
      <c r="E15" s="139">
        <f t="shared" si="0"/>
        <v>0</v>
      </c>
      <c r="F15" s="13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">
      <c r="A16" s="187" t="s">
        <v>169</v>
      </c>
      <c r="B16" s="131">
        <f>E6*'Page 3-Assumptions'!E8</f>
        <v>0</v>
      </c>
      <c r="C16" s="134">
        <v>0</v>
      </c>
      <c r="D16" s="134">
        <v>0</v>
      </c>
      <c r="E16" s="139">
        <f t="shared" si="0"/>
        <v>0</v>
      </c>
      <c r="F16" s="13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3">
      <c r="A17" s="187" t="s">
        <v>170</v>
      </c>
      <c r="B17" s="131">
        <f>'Page 3-Assumptions'!E9</f>
        <v>0</v>
      </c>
      <c r="C17" s="134">
        <v>0</v>
      </c>
      <c r="D17" s="134">
        <v>0</v>
      </c>
      <c r="E17" s="139">
        <f t="shared" si="0"/>
        <v>0</v>
      </c>
      <c r="F17" s="13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3">
      <c r="A18" s="129" t="s">
        <v>84</v>
      </c>
      <c r="B18" s="131"/>
      <c r="C18" s="134">
        <f>'Page 3-Assumptions'!$E$11</f>
        <v>0</v>
      </c>
      <c r="D18" s="134">
        <v>0</v>
      </c>
      <c r="E18" s="139">
        <f t="shared" si="0"/>
        <v>0</v>
      </c>
      <c r="F18" s="13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3">
      <c r="A19" s="166" t="s">
        <v>90</v>
      </c>
      <c r="B19" s="134">
        <f>'Page 3-Assumptions'!E14</f>
        <v>500</v>
      </c>
      <c r="C19" s="134">
        <v>0</v>
      </c>
      <c r="D19" s="134">
        <v>0</v>
      </c>
      <c r="E19" s="139">
        <f t="shared" si="0"/>
        <v>500</v>
      </c>
      <c r="F19" s="13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3">
      <c r="A20" s="166" t="s">
        <v>172</v>
      </c>
      <c r="B20" s="131"/>
      <c r="C20" s="130"/>
      <c r="D20" s="130"/>
      <c r="E20" s="139">
        <f t="shared" si="0"/>
        <v>0</v>
      </c>
      <c r="F20" s="13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3">
      <c r="A21" s="129" t="s">
        <v>94</v>
      </c>
      <c r="B21" s="131">
        <f>'Page 3-Assumptions'!E16</f>
        <v>0</v>
      </c>
      <c r="C21" s="134">
        <v>0</v>
      </c>
      <c r="D21" s="134">
        <v>0</v>
      </c>
      <c r="E21" s="139">
        <f t="shared" si="0"/>
        <v>0</v>
      </c>
      <c r="F21" s="13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">
      <c r="A22" s="129" t="s">
        <v>311</v>
      </c>
      <c r="B22" s="131">
        <f>'Page 3-Assumptions'!E18</f>
        <v>0</v>
      </c>
      <c r="C22" s="134">
        <v>0</v>
      </c>
      <c r="D22" s="134">
        <v>0</v>
      </c>
      <c r="E22" s="139"/>
      <c r="F22" s="13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A23" s="166" t="s">
        <v>99</v>
      </c>
      <c r="B23" s="131"/>
      <c r="C23" s="134">
        <f>'Page 3-Assumptions'!$E$19</f>
        <v>0</v>
      </c>
      <c r="D23" s="134">
        <v>0</v>
      </c>
      <c r="E23" s="139">
        <f t="shared" si="0"/>
        <v>0</v>
      </c>
      <c r="F23" s="13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3">
      <c r="A24" s="166" t="s">
        <v>173</v>
      </c>
      <c r="B24" s="131"/>
      <c r="C24" s="134">
        <f>'Page 3-Assumptions'!$E$20</f>
        <v>0</v>
      </c>
      <c r="D24" s="134">
        <v>0</v>
      </c>
      <c r="E24" s="139">
        <f t="shared" si="0"/>
        <v>0</v>
      </c>
      <c r="F24" s="13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3">
      <c r="A25" s="166" t="s">
        <v>103</v>
      </c>
      <c r="B25" s="131"/>
      <c r="C25" s="134">
        <f>'Page 3-Assumptions'!$E$21</f>
        <v>0</v>
      </c>
      <c r="D25" s="134">
        <v>0</v>
      </c>
      <c r="E25" s="139">
        <f t="shared" si="0"/>
        <v>0</v>
      </c>
      <c r="F25" s="13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129" t="s">
        <v>303</v>
      </c>
      <c r="B26" s="131"/>
      <c r="C26" s="134">
        <f>'Page 3-Assumptions'!$E$22</f>
        <v>1500</v>
      </c>
      <c r="D26" s="134"/>
      <c r="E26" s="139">
        <f t="shared" si="0"/>
        <v>1500</v>
      </c>
      <c r="F26" s="13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166" t="s">
        <v>174</v>
      </c>
      <c r="B27" s="131"/>
      <c r="C27" s="130"/>
      <c r="D27" s="130"/>
      <c r="E27" s="139">
        <f t="shared" si="0"/>
        <v>0</v>
      </c>
      <c r="F27" s="13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3">
      <c r="A28" s="166" t="s">
        <v>175</v>
      </c>
      <c r="B28" s="131"/>
      <c r="C28" s="130"/>
      <c r="D28" s="130"/>
      <c r="E28" s="139">
        <f t="shared" si="0"/>
        <v>0</v>
      </c>
      <c r="F28" s="13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3">
      <c r="A29" s="166" t="s">
        <v>67</v>
      </c>
      <c r="B29" s="134">
        <f>E6*'Page 3-Assumptions'!E5</f>
        <v>0</v>
      </c>
      <c r="C29" s="134">
        <v>0</v>
      </c>
      <c r="D29" s="134">
        <v>0</v>
      </c>
      <c r="E29" s="139">
        <f t="shared" si="0"/>
        <v>0</v>
      </c>
      <c r="F29" s="135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3">
      <c r="A30" s="129" t="s">
        <v>176</v>
      </c>
      <c r="B30" s="137">
        <f>'Page 3-Assumptions'!E6</f>
        <v>0</v>
      </c>
      <c r="C30" s="137">
        <v>0</v>
      </c>
      <c r="D30" s="137">
        <v>0</v>
      </c>
      <c r="E30" s="139">
        <f t="shared" si="0"/>
        <v>0</v>
      </c>
      <c r="F30" s="13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3">
      <c r="A31" s="138" t="s">
        <v>177</v>
      </c>
      <c r="B31" s="139">
        <f>SUM(B8:B30)</f>
        <v>500</v>
      </c>
      <c r="C31" s="139">
        <f>SUM(C8:C30)</f>
        <v>1500</v>
      </c>
      <c r="D31" s="139">
        <f>SUM(D8:D30)</f>
        <v>0</v>
      </c>
      <c r="E31" s="139">
        <f>SUM(E8:E30)</f>
        <v>2000</v>
      </c>
      <c r="F31" s="13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3">
      <c r="A32" s="140"/>
      <c r="B32" s="141"/>
      <c r="C32" s="141"/>
      <c r="D32" s="141"/>
      <c r="E32" s="188"/>
      <c r="F32" s="13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3">
      <c r="A33" s="143" t="s">
        <v>112</v>
      </c>
      <c r="B33" s="141"/>
      <c r="C33" s="141"/>
      <c r="D33" s="141"/>
      <c r="E33" s="142"/>
      <c r="F33" s="13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3">
      <c r="A34" s="129" t="s">
        <v>178</v>
      </c>
      <c r="B34" s="134">
        <f>'Page 2-Staffing Plan'!E32</f>
        <v>970100.00000000012</v>
      </c>
      <c r="C34" s="130"/>
      <c r="D34" s="130"/>
      <c r="E34" s="132">
        <f t="shared" ref="E34:E75" si="1">SUM(B34:D34)</f>
        <v>970100.00000000012</v>
      </c>
      <c r="F34" s="13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3">
      <c r="A35" s="129" t="s">
        <v>179</v>
      </c>
      <c r="B35" s="134">
        <f>('Page 3-Assumptions'!B40*'Page 3-Assumptions'!B41)*('Page 2-Staffing Plan'!E15)</f>
        <v>0</v>
      </c>
      <c r="C35" s="130"/>
      <c r="D35" s="130"/>
      <c r="E35" s="132">
        <f t="shared" si="1"/>
        <v>0</v>
      </c>
      <c r="F35" s="13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3">
      <c r="A36" s="129" t="s">
        <v>180</v>
      </c>
      <c r="B36" s="134">
        <f>(B34+B35)*1.45%</f>
        <v>14066.45</v>
      </c>
      <c r="C36" s="130"/>
      <c r="D36" s="130"/>
      <c r="E36" s="132">
        <f t="shared" si="1"/>
        <v>14066.45</v>
      </c>
      <c r="F36" s="13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">
      <c r="A37" s="129" t="s">
        <v>181</v>
      </c>
      <c r="B37" s="134">
        <f>'Page 6-Year 2'!B37</f>
        <v>0</v>
      </c>
      <c r="C37" s="130"/>
      <c r="D37" s="130"/>
      <c r="E37" s="132">
        <f t="shared" si="1"/>
        <v>0</v>
      </c>
      <c r="F37" s="13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3">
      <c r="A38" s="129" t="s">
        <v>182</v>
      </c>
      <c r="B38" s="134">
        <f>((E34+E35)*'Page 3-Assumptions'!E32)-C38</f>
        <v>202750.90000000002</v>
      </c>
      <c r="C38" s="169"/>
      <c r="D38" s="130"/>
      <c r="E38" s="132">
        <f t="shared" si="1"/>
        <v>202750.90000000002</v>
      </c>
      <c r="F38" s="135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">
      <c r="A39" s="129" t="s">
        <v>183</v>
      </c>
      <c r="B39" s="134">
        <f>('Page 3-Assumptions'!B42*1.05^3)*'Page 2-Staffing Plan'!E37</f>
        <v>0</v>
      </c>
      <c r="C39" s="130"/>
      <c r="D39" s="130"/>
      <c r="E39" s="132">
        <f t="shared" si="1"/>
        <v>0</v>
      </c>
      <c r="F39" s="13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3">
      <c r="A40" s="129" t="s">
        <v>184</v>
      </c>
      <c r="B40" s="134">
        <f>('Page 3-Assumptions'!B43*1.02^2)*'Page 2-Staffing Plan'!E37</f>
        <v>0</v>
      </c>
      <c r="C40" s="130"/>
      <c r="D40" s="130"/>
      <c r="E40" s="132">
        <f t="shared" si="1"/>
        <v>0</v>
      </c>
      <c r="F40" s="13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3">
      <c r="A41" s="129" t="s">
        <v>185</v>
      </c>
      <c r="B41" s="134">
        <f>'Page 6-Year 2'!B41</f>
        <v>0</v>
      </c>
      <c r="C41" s="130"/>
      <c r="D41" s="130"/>
      <c r="E41" s="132">
        <f t="shared" si="1"/>
        <v>0</v>
      </c>
      <c r="F41" s="13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">
      <c r="A42" s="129" t="s">
        <v>186</v>
      </c>
      <c r="B42" s="134">
        <f>'Page 6-Year 2'!B42</f>
        <v>0</v>
      </c>
      <c r="C42" s="131"/>
      <c r="D42" s="130"/>
      <c r="E42" s="132">
        <f t="shared" si="1"/>
        <v>0</v>
      </c>
      <c r="F42" s="13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3">
      <c r="A43" s="129" t="s">
        <v>187</v>
      </c>
      <c r="B43" s="134">
        <f>('Page 3-Assumptions'!$B$46*'Page 2-Staffing Plan'!E37)</f>
        <v>0</v>
      </c>
      <c r="C43" s="130"/>
      <c r="D43" s="130"/>
      <c r="E43" s="132">
        <f t="shared" si="1"/>
        <v>0</v>
      </c>
      <c r="F43" s="13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3">
      <c r="A44" s="129" t="s">
        <v>188</v>
      </c>
      <c r="B44" s="134">
        <f>'Page 3-Assumptions'!E68</f>
        <v>0</v>
      </c>
      <c r="C44" s="146"/>
      <c r="D44" s="146"/>
      <c r="E44" s="132">
        <f t="shared" si="1"/>
        <v>0</v>
      </c>
      <c r="F44" s="13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3">
      <c r="A45" s="129" t="s">
        <v>189</v>
      </c>
      <c r="B45" s="134">
        <f>E5*'Page 3-Assumptions'!$B$47</f>
        <v>0</v>
      </c>
      <c r="C45" s="130"/>
      <c r="D45" s="130"/>
      <c r="E45" s="132">
        <f t="shared" si="1"/>
        <v>0</v>
      </c>
      <c r="F45" s="13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3">
      <c r="A46" s="129" t="s">
        <v>190</v>
      </c>
      <c r="B46" s="130"/>
      <c r="C46" s="130"/>
      <c r="D46" s="130"/>
      <c r="E46" s="132">
        <f t="shared" si="1"/>
        <v>0</v>
      </c>
      <c r="F46" s="135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3">
      <c r="A47" s="129" t="s">
        <v>191</v>
      </c>
      <c r="B47" s="130">
        <f>'Page 6-Year 2'!B47*1.05+'Page 6-Year 2'!D47*1.05</f>
        <v>0</v>
      </c>
      <c r="C47" s="130"/>
      <c r="D47" s="130"/>
      <c r="E47" s="132">
        <f t="shared" si="1"/>
        <v>0</v>
      </c>
      <c r="F47" s="13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3">
      <c r="A48" s="129" t="s">
        <v>192</v>
      </c>
      <c r="B48" s="130"/>
      <c r="C48" s="130">
        <f>SUM(C17:C25)</f>
        <v>0</v>
      </c>
      <c r="D48" s="130"/>
      <c r="E48" s="132">
        <f t="shared" si="1"/>
        <v>0</v>
      </c>
      <c r="F48" s="135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3">
      <c r="A49" s="129" t="s">
        <v>193</v>
      </c>
      <c r="B49" s="130">
        <f>'Page 6-Year 2'!D49*1.05</f>
        <v>0</v>
      </c>
      <c r="C49" s="130"/>
      <c r="D49" s="130"/>
      <c r="E49" s="132">
        <f t="shared" si="1"/>
        <v>0</v>
      </c>
      <c r="F49" s="13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3">
      <c r="A50" s="129" t="s">
        <v>194</v>
      </c>
      <c r="B50" s="130">
        <f>'Page 6-Year 2'!B50*1.05</f>
        <v>0</v>
      </c>
      <c r="C50" s="131"/>
      <c r="D50" s="130"/>
      <c r="E50" s="132">
        <f t="shared" si="1"/>
        <v>0</v>
      </c>
      <c r="F50" s="135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3">
      <c r="A51" s="129" t="s">
        <v>195</v>
      </c>
      <c r="B51" s="130">
        <f>'Page 6-Year 2'!B51*1.05</f>
        <v>0</v>
      </c>
      <c r="C51" s="130"/>
      <c r="D51" s="130"/>
      <c r="E51" s="132">
        <f t="shared" si="1"/>
        <v>0</v>
      </c>
      <c r="F51" s="13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3">
      <c r="A52" s="129" t="s">
        <v>196</v>
      </c>
      <c r="B52" s="130">
        <f>'Page 6-Year 2'!B52*1.05</f>
        <v>0</v>
      </c>
      <c r="C52" s="130"/>
      <c r="D52" s="130"/>
      <c r="E52" s="132">
        <f t="shared" si="1"/>
        <v>0</v>
      </c>
      <c r="F52" s="135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3">
      <c r="A53" s="129" t="s">
        <v>197</v>
      </c>
      <c r="B53" s="134">
        <f>(SUM('Page 1-Enrollment Plan'!D7:D17))*'Page 3-Assumptions'!$B$48</f>
        <v>0</v>
      </c>
      <c r="C53" s="130"/>
      <c r="D53" s="130"/>
      <c r="E53" s="132">
        <f t="shared" si="1"/>
        <v>0</v>
      </c>
      <c r="F53" s="13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3">
      <c r="A54" s="129" t="s">
        <v>198</v>
      </c>
      <c r="B54" s="134">
        <f>('Page 3-Assumptions'!$B$49+'Page 3-Assumptions'!$B$50)*'Page 1-Enrollment Plan'!D20</f>
        <v>0</v>
      </c>
      <c r="C54" s="130"/>
      <c r="D54" s="130"/>
      <c r="E54" s="132">
        <f t="shared" si="1"/>
        <v>0</v>
      </c>
      <c r="F54" s="13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3">
      <c r="A55" s="129" t="s">
        <v>199</v>
      </c>
      <c r="B55" s="134">
        <f>'Page 3-Assumptions'!E36</f>
        <v>0</v>
      </c>
      <c r="C55" s="130"/>
      <c r="D55" s="130"/>
      <c r="E55" s="132">
        <f t="shared" si="1"/>
        <v>0</v>
      </c>
      <c r="F55" s="13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3">
      <c r="A56" s="129" t="s">
        <v>200</v>
      </c>
      <c r="B56" s="134">
        <f>'Page 3-Assumptions'!$E$35*(E34+E35)</f>
        <v>2910.3000000000006</v>
      </c>
      <c r="C56" s="130"/>
      <c r="D56" s="130"/>
      <c r="E56" s="132">
        <f t="shared" si="1"/>
        <v>2910.3000000000006</v>
      </c>
      <c r="F56" s="13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3">
      <c r="A57" s="129" t="s">
        <v>201</v>
      </c>
      <c r="B57" s="134">
        <f>((E34+E35)/100)*2</f>
        <v>19402.000000000004</v>
      </c>
      <c r="C57" s="130"/>
      <c r="D57" s="130"/>
      <c r="E57" s="132">
        <f t="shared" si="1"/>
        <v>19402.000000000004</v>
      </c>
      <c r="F57" s="13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3">
      <c r="A58" s="129" t="s">
        <v>202</v>
      </c>
      <c r="B58" s="130">
        <f>'Page 6-Year 2'!B58*1.05</f>
        <v>0</v>
      </c>
      <c r="C58" s="130"/>
      <c r="D58" s="130"/>
      <c r="E58" s="132">
        <f t="shared" si="1"/>
        <v>0</v>
      </c>
      <c r="F58" s="13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3">
      <c r="A59" s="129" t="s">
        <v>203</v>
      </c>
      <c r="B59" s="134">
        <f>'Page 3-Assumptions'!$B$51*'Page 1-Enrollment Plan'!$D$20</f>
        <v>0</v>
      </c>
      <c r="C59" s="130"/>
      <c r="D59" s="130"/>
      <c r="E59" s="132">
        <f t="shared" si="1"/>
        <v>0</v>
      </c>
      <c r="F59" s="13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3">
      <c r="A60" s="129" t="s">
        <v>204</v>
      </c>
      <c r="B60" s="134">
        <f>E5*'Page 3-Assumptions'!$B$52</f>
        <v>0</v>
      </c>
      <c r="C60" s="130"/>
      <c r="D60" s="130"/>
      <c r="E60" s="132">
        <f t="shared" si="1"/>
        <v>0</v>
      </c>
      <c r="F60" s="13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3">
      <c r="A61" s="129" t="s">
        <v>205</v>
      </c>
      <c r="B61" s="134">
        <f>'Page 2-Staffing Plan'!E37*'Page 3-Assumptions'!$B$45</f>
        <v>0</v>
      </c>
      <c r="C61" s="130"/>
      <c r="D61" s="170"/>
      <c r="E61" s="132">
        <f t="shared" si="1"/>
        <v>0</v>
      </c>
      <c r="F61" s="135" t="s">
        <v>26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3">
      <c r="A62" s="129" t="s">
        <v>206</v>
      </c>
      <c r="B62" s="134">
        <f>E29*'Page 3-Assumptions'!E30</f>
        <v>0</v>
      </c>
      <c r="C62" s="130"/>
      <c r="D62" s="130"/>
      <c r="E62" s="132">
        <f t="shared" si="1"/>
        <v>0</v>
      </c>
      <c r="F62" s="13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3">
      <c r="A63" s="129" t="s">
        <v>207</v>
      </c>
      <c r="B63" s="134">
        <f>B29*'Page 3-Assumptions'!E31</f>
        <v>0</v>
      </c>
      <c r="C63" s="130"/>
      <c r="D63" s="130"/>
      <c r="E63" s="132">
        <f t="shared" si="1"/>
        <v>0</v>
      </c>
      <c r="F63" s="13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3">
      <c r="A64" s="129" t="s">
        <v>208</v>
      </c>
      <c r="B64" s="134">
        <f>'Page 3-Assumptions'!$B$53*'Page 1-Enrollment Plan'!$D$20</f>
        <v>0</v>
      </c>
      <c r="C64" s="130"/>
      <c r="D64" s="130"/>
      <c r="E64" s="132">
        <f t="shared" si="1"/>
        <v>0</v>
      </c>
      <c r="F64" s="13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3">
      <c r="A65" s="129" t="s">
        <v>209</v>
      </c>
      <c r="B65" s="134">
        <f>E5*'Page 3-Assumptions'!$B$54</f>
        <v>0</v>
      </c>
      <c r="C65" s="130"/>
      <c r="D65" s="130"/>
      <c r="E65" s="132">
        <f t="shared" si="1"/>
        <v>0</v>
      </c>
      <c r="F65" s="13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3">
      <c r="A66" s="129" t="s">
        <v>210</v>
      </c>
      <c r="B66" s="134">
        <f>E5*'Page 3-Assumptions'!$B$55</f>
        <v>0</v>
      </c>
      <c r="C66" s="130"/>
      <c r="D66" s="130"/>
      <c r="E66" s="132">
        <f t="shared" si="1"/>
        <v>0</v>
      </c>
      <c r="F66" s="13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3">
      <c r="A67" s="129" t="s">
        <v>211</v>
      </c>
      <c r="B67" s="131">
        <f>('Page 6-Year 2'!D67+'Page 6-Year 2'!B67)*1.05</f>
        <v>0</v>
      </c>
      <c r="C67" s="130"/>
      <c r="D67" s="170"/>
      <c r="E67" s="132">
        <f t="shared" si="1"/>
        <v>0</v>
      </c>
      <c r="F67" s="13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3">
      <c r="A68" s="129" t="s">
        <v>212</v>
      </c>
      <c r="B68" s="131">
        <f>'Page 6-Year 2'!B68*1.05</f>
        <v>0</v>
      </c>
      <c r="C68" s="130"/>
      <c r="D68" s="130"/>
      <c r="E68" s="132">
        <f t="shared" si="1"/>
        <v>0</v>
      </c>
      <c r="F68" s="135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3">
      <c r="A69" s="129" t="s">
        <v>213</v>
      </c>
      <c r="B69" s="131">
        <f>'Page 6-Year 2'!B69</f>
        <v>0</v>
      </c>
      <c r="C69" s="130"/>
      <c r="D69" s="130"/>
      <c r="E69" s="132">
        <f t="shared" si="1"/>
        <v>0</v>
      </c>
      <c r="F69" s="135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3">
      <c r="A70" s="129" t="s">
        <v>214</v>
      </c>
      <c r="B70" s="131">
        <v>0</v>
      </c>
      <c r="C70" s="130"/>
      <c r="D70" s="130"/>
      <c r="E70" s="132">
        <f t="shared" si="1"/>
        <v>0</v>
      </c>
      <c r="F70" s="13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3">
      <c r="A71" s="129" t="s">
        <v>215</v>
      </c>
      <c r="B71" s="131">
        <v>0</v>
      </c>
      <c r="C71" s="130"/>
      <c r="D71" s="170"/>
      <c r="E71" s="132">
        <f t="shared" si="1"/>
        <v>0</v>
      </c>
      <c r="F71" s="135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3">
      <c r="A72" s="129" t="s">
        <v>216</v>
      </c>
      <c r="B72" s="134">
        <f>'Page 3-Assumptions'!$B$56*'Page 1-Enrollment Plan'!D20</f>
        <v>0</v>
      </c>
      <c r="C72" s="130"/>
      <c r="D72" s="130"/>
      <c r="E72" s="132">
        <f t="shared" si="1"/>
        <v>0</v>
      </c>
      <c r="F72" s="13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3">
      <c r="A73" s="129" t="s">
        <v>217</v>
      </c>
      <c r="B73" s="130">
        <v>0</v>
      </c>
      <c r="C73" s="130"/>
      <c r="D73" s="130"/>
      <c r="E73" s="132">
        <f t="shared" si="1"/>
        <v>0</v>
      </c>
      <c r="F73" s="13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3">
      <c r="A74" s="129" t="s">
        <v>218</v>
      </c>
      <c r="B74" s="134">
        <f>('Page 3-Assumptions'!$B$57*'Page 1-Enrollment Plan'!D20)</f>
        <v>0</v>
      </c>
      <c r="C74" s="130"/>
      <c r="D74" s="130"/>
      <c r="E74" s="132">
        <f t="shared" si="1"/>
        <v>0</v>
      </c>
      <c r="F74" s="13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3">
      <c r="A75" s="129" t="s">
        <v>219</v>
      </c>
      <c r="B75" s="146">
        <v>0</v>
      </c>
      <c r="C75" s="146"/>
      <c r="D75" s="146"/>
      <c r="E75" s="132">
        <f t="shared" si="1"/>
        <v>0</v>
      </c>
      <c r="F75" s="13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3">
      <c r="A76" s="138" t="s">
        <v>220</v>
      </c>
      <c r="B76" s="139">
        <f>SUM(B34:B75)</f>
        <v>1209229.6500000001</v>
      </c>
      <c r="C76" s="139">
        <f>SUM(C34:C75)</f>
        <v>0</v>
      </c>
      <c r="D76" s="139">
        <f>SUM(D34:D75)</f>
        <v>0</v>
      </c>
      <c r="E76" s="139">
        <f>SUM(E34:E75)</f>
        <v>1209229.6500000001</v>
      </c>
      <c r="F76" s="13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3">
      <c r="A77" s="150"/>
      <c r="B77" s="141"/>
      <c r="C77" s="141"/>
      <c r="D77" s="141"/>
      <c r="E77" s="142"/>
      <c r="F77" s="13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3">
      <c r="A78" s="148" t="s">
        <v>221</v>
      </c>
      <c r="B78" s="139">
        <f>B31-B76</f>
        <v>-1208729.6500000001</v>
      </c>
      <c r="C78" s="139">
        <f>C31-C76</f>
        <v>1500</v>
      </c>
      <c r="D78" s="139">
        <f>D31-D76</f>
        <v>0</v>
      </c>
      <c r="E78" s="139">
        <f>E31-E76</f>
        <v>-1207229.6500000001</v>
      </c>
      <c r="F78" s="13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3">
      <c r="A79" s="149"/>
      <c r="B79" s="141"/>
      <c r="C79" s="141"/>
      <c r="D79" s="141"/>
      <c r="E79" s="142"/>
      <c r="F79" s="13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3">
      <c r="A80" s="150" t="s">
        <v>237</v>
      </c>
      <c r="B80" s="141"/>
      <c r="C80" s="141"/>
      <c r="D80" s="151"/>
      <c r="E80" s="142"/>
      <c r="F80" s="13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3">
      <c r="A81" s="136" t="s">
        <v>223</v>
      </c>
      <c r="B81" s="141">
        <v>0</v>
      </c>
      <c r="C81" s="141"/>
      <c r="D81" s="151"/>
      <c r="E81" s="142">
        <f>B81+C81+D81</f>
        <v>0</v>
      </c>
      <c r="F81" s="135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3">
      <c r="A82" s="155" t="s">
        <v>238</v>
      </c>
      <c r="B82" s="182">
        <f>-(3%*(B31-((SUM(B15:B23)))))-('Page 5-Year 1'!B82+'Page 6-Year 2'!B82)</f>
        <v>0</v>
      </c>
      <c r="C82" s="141"/>
      <c r="D82" s="141"/>
      <c r="E82" s="142">
        <f>SUM(B82:D82)</f>
        <v>0</v>
      </c>
      <c r="F82" s="13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3">
      <c r="A83" s="178" t="s">
        <v>225</v>
      </c>
      <c r="B83" s="172">
        <f>SUM(B78:B82)</f>
        <v>-1208729.6500000001</v>
      </c>
      <c r="C83" s="172">
        <f>SUM(C78:C82)</f>
        <v>1500</v>
      </c>
      <c r="D83" s="172">
        <f>SUM(D78:D82)</f>
        <v>0</v>
      </c>
      <c r="E83" s="172">
        <f>SUM(E78:E82)</f>
        <v>-1207229.6500000001</v>
      </c>
      <c r="F83" s="13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3">
      <c r="A84" s="173"/>
      <c r="B84" s="174"/>
      <c r="C84" s="174"/>
      <c r="D84" s="174"/>
      <c r="E84" s="175"/>
      <c r="F84" s="13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3">
      <c r="A85" s="41" t="s">
        <v>226</v>
      </c>
      <c r="B85" s="26"/>
      <c r="C85" s="26"/>
      <c r="D85" s="26"/>
      <c r="E85" s="154">
        <f>'Page 6-Year 2'!E86</f>
        <v>-1532446.65</v>
      </c>
      <c r="F85" s="135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3">
      <c r="A86" s="41" t="s">
        <v>227</v>
      </c>
      <c r="B86" s="26"/>
      <c r="C86" s="26"/>
      <c r="D86" s="26"/>
      <c r="E86" s="154">
        <f>E78+E81+E85</f>
        <v>-2739676.3</v>
      </c>
      <c r="F86" s="135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3">
      <c r="A87" s="155" t="s">
        <v>228</v>
      </c>
      <c r="B87" s="26"/>
      <c r="C87" s="26"/>
      <c r="D87" s="26"/>
      <c r="E87" s="151">
        <f>'Page 6-Year 2'!E87-E82</f>
        <v>0</v>
      </c>
      <c r="F87" s="13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3">
      <c r="A88" s="155" t="s">
        <v>229</v>
      </c>
      <c r="B88" s="26"/>
      <c r="C88" s="26"/>
      <c r="D88" s="26"/>
      <c r="E88" s="151">
        <f>E86-E87</f>
        <v>-2739676.3</v>
      </c>
      <c r="F88" s="135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3">
      <c r="A89" s="176" t="s">
        <v>230</v>
      </c>
      <c r="B89" s="26"/>
      <c r="C89" s="26"/>
      <c r="D89" s="26"/>
      <c r="E89" s="156">
        <f>E88/E76</f>
        <v>-2.2656377140603521</v>
      </c>
      <c r="F89" s="118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3">
      <c r="A90" s="157"/>
      <c r="B90" s="29"/>
      <c r="C90" s="29"/>
      <c r="D90" s="29"/>
      <c r="E90" s="30"/>
      <c r="F90" s="189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</sheetData>
  <mergeCells count="1">
    <mergeCell ref="B3:E3"/>
  </mergeCells>
  <printOptions horizontalCentered="1"/>
  <pageMargins left="0.25" right="0.25" top="0.42986111111111103" bottom="0.65972222222222199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Instructions</vt:lpstr>
      <vt:lpstr>Cover Page</vt:lpstr>
      <vt:lpstr>Page 1-Enrollment Plan</vt:lpstr>
      <vt:lpstr>Page 2-Staffing Plan</vt:lpstr>
      <vt:lpstr>Page 3-Assumptions</vt:lpstr>
      <vt:lpstr>Page 4-Year 0</vt:lpstr>
      <vt:lpstr>Page 5-Year 1</vt:lpstr>
      <vt:lpstr>Page 6-Year 2</vt:lpstr>
      <vt:lpstr>Page 7-Year 3</vt:lpstr>
      <vt:lpstr>Page 8-Year 4</vt:lpstr>
      <vt:lpstr>Page 9-Year 5</vt:lpstr>
      <vt:lpstr>Page 10-6 yr Budget-detail</vt:lpstr>
      <vt:lpstr>Page 11-6 yr Budget Summary</vt:lpstr>
      <vt:lpstr>Support-CDE start-up grant</vt:lpstr>
      <vt:lpstr>__FTE1</vt:lpstr>
      <vt:lpstr>__FTE2</vt:lpstr>
      <vt:lpstr>__fTE3</vt:lpstr>
      <vt:lpstr>__FTE4</vt:lpstr>
      <vt:lpstr>'Page 11-6 yr Budget Summary'!_FTE1</vt:lpstr>
      <vt:lpstr>'Page 11-6 yr Budget Summary'!_FTE2</vt:lpstr>
      <vt:lpstr>'Page 11-6 yr Budget Summary'!_fTE3</vt:lpstr>
      <vt:lpstr>'Page 11-6 yr Budget Summary'!_FTE4</vt:lpstr>
      <vt:lpstr>'Page 5-Year 1'!FPC</vt:lpstr>
      <vt:lpstr>'Page 6-Year 2'!FPC</vt:lpstr>
      <vt:lpstr>'Page 7-Year 3'!FPC</vt:lpstr>
      <vt:lpstr>'Page 8-Year 4'!FPC</vt:lpstr>
      <vt:lpstr>'Page 9-Year 5'!FPC</vt:lpstr>
      <vt:lpstr>FPC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Lori Deacon</dc:creator>
  <dc:description/>
  <cp:lastModifiedBy>Karger, Amanda</cp:lastModifiedBy>
  <cp:revision>50</cp:revision>
  <cp:lastPrinted>2018-07-30T03:23:41Z</cp:lastPrinted>
  <dcterms:created xsi:type="dcterms:W3CDTF">2018-06-14T22:12:17Z</dcterms:created>
  <dcterms:modified xsi:type="dcterms:W3CDTF">2018-12-13T21:16:43Z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